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4940" windowHeight="9480" tabRatio="630" activeTab="9"/>
  </bookViews>
  <sheets>
    <sheet name="s000" sheetId="1" r:id="rId1"/>
    <sheet name="s010" sheetId="2" r:id="rId2"/>
    <sheet name="s020" sheetId="3" r:id="rId3"/>
    <sheet name="s030" sheetId="4" r:id="rId4"/>
    <sheet name="s040" sheetId="5" r:id="rId5"/>
    <sheet name="s051" sheetId="6" r:id="rId6"/>
    <sheet name="s052" sheetId="7" r:id="rId7"/>
    <sheet name="s053" sheetId="8" r:id="rId8"/>
    <sheet name="s054" sheetId="9" r:id="rId9"/>
    <sheet name="s055" sheetId="10" r:id="rId10"/>
    <sheet name="s060" sheetId="11" r:id="rId11"/>
    <sheet name="s000_Cuadres" sheetId="12" r:id="rId12"/>
  </sheets>
  <externalReferences>
    <externalReference r:id="rId15"/>
  </externalReferences>
  <definedNames>
    <definedName name="_xlnm.Print_Area" localSheetId="1">'s010'!$A$1:$J$204</definedName>
    <definedName name="_xlnm.Print_Area" localSheetId="2">'s020'!$A$1:$M$65</definedName>
    <definedName name="_xlnm.Print_Area" localSheetId="3">'s030'!$A$1:$H$66</definedName>
    <definedName name="_xlnm.Print_Area" localSheetId="4">'s040'!$A$1:$G$41</definedName>
    <definedName name="_xlnm.Print_Area" localSheetId="5">'s051'!$A$1:$AH$157</definedName>
    <definedName name="_xlnm.Print_Area" localSheetId="6">'s052'!$A$2:$Z$78</definedName>
    <definedName name="_xlnm.Print_Area" localSheetId="7">'s053'!$A$1:$E$40</definedName>
    <definedName name="_xlnm.Print_Area" localSheetId="8">'s054'!$A$1:$R$75</definedName>
    <definedName name="_xlnm.Print_Area" localSheetId="9">'s055'!$A$1:$Y$152</definedName>
    <definedName name="Clave_Entidad">'[1]Pegado'!$B$2</definedName>
    <definedName name="ele_s052_00100">'s052'!$A$17</definedName>
    <definedName name="ele_s052_03300">'s052'!$A$67</definedName>
    <definedName name="ele_s052_03301">F57C2</definedName>
    <definedName name="ele_s052_07270">'s052'!$A$51</definedName>
    <definedName name="ele_s052_07305">'s052'!$L$59</definedName>
    <definedName name="ele_s052_07315">'s052'!$N$59</definedName>
    <definedName name="ele_s052_07325">'s052'!$P$59</definedName>
    <definedName name="ele_s052_07335">'s052'!$R$59</definedName>
    <definedName name="ele_s052_07345">'s052'!$T$59</definedName>
    <definedName name="ele_s052_07355">'s052'!$V$59</definedName>
    <definedName name="ele_s052_07365">'s052'!$X$59</definedName>
    <definedName name="ele_s052_07375">'s052'!$Z$59</definedName>
    <definedName name="ele_s052_08005">'s052'!$D$25</definedName>
    <definedName name="ele_s052_08025">'s052'!$H$25</definedName>
    <definedName name="ele_s052_08045">'s052'!$L$25</definedName>
    <definedName name="ele_s052_08065">'s052'!$P$25</definedName>
    <definedName name="ele_s052_08085">'s052'!$T$25</definedName>
    <definedName name="ele_s052_08105">'s052'!$X$25</definedName>
    <definedName name="ele_s052_09085">'s052'!$T$39</definedName>
    <definedName name="ele_s052_09095">'s052'!$V$39</definedName>
    <definedName name="ele_s052_09105">'s052'!$X$39</definedName>
    <definedName name="ele_s052_09115">'s052'!$Z$39</definedName>
    <definedName name="ele_s052_09228">'s052'!$R$39</definedName>
    <definedName name="ele_s052_09930">'s052'!$A$31</definedName>
    <definedName name="ele_s052_D_Fin">'s052'!$A$74</definedName>
    <definedName name="ele_s053_00200">'s053'!$C$32</definedName>
    <definedName name="ele_s053_00210">'s053'!$C$33</definedName>
    <definedName name="ele_s053_00220">'s053'!$C$34</definedName>
    <definedName name="ele_s053_00230">'s053'!$C$35</definedName>
    <definedName name="ele_s053_00240">'s053'!$C$36</definedName>
    <definedName name="ele_s053_00250">'s053'!$C$37</definedName>
    <definedName name="ele_s053_00260">'s053'!$C$38</definedName>
    <definedName name="ele_s054.00498">'s054'!$A$39</definedName>
    <definedName name="ele_s054.00504">'s054'!$A$43</definedName>
    <definedName name="ele_s054.00511">'s054'!$A$50</definedName>
    <definedName name="ele_s054.Amor_Fin">'s054'!$A$41</definedName>
    <definedName name="ele_s054.Dife_Fin">'s054'!$A$45</definedName>
    <definedName name="ele_s054.Otro_Fin">'s054'!$A$52</definedName>
    <definedName name="ele_s055.01400">'s055'!$M$72</definedName>
    <definedName name="ele_s055_01405">'s055'!$N$100</definedName>
    <definedName name="ele_s055_01415">'s055'!$R$100</definedName>
    <definedName name="ele_s055_01425">'s055'!$V$100</definedName>
    <definedName name="ele_s055_01435">'s055'!$Y$100</definedName>
    <definedName name="Entidad">'[1]Pegado'!$B$3</definedName>
    <definedName name="Fecha">'[1]Pegado'!$B$5</definedName>
    <definedName name="s000.00100">'s000'!$E$5</definedName>
    <definedName name="s000.00110">'s000'!$E$6</definedName>
    <definedName name="s000.00120">'s000'!$E$7</definedName>
    <definedName name="s000.00121">'s000'!$E$8</definedName>
    <definedName name="s000.00122">'s000'!$E$9</definedName>
    <definedName name="s000.00130">'s000'!$E$10</definedName>
    <definedName name="s000.00140">'s000'!$E$11</definedName>
    <definedName name="s000.00150">'s000'!$E$12</definedName>
    <definedName name="s000.00160">'s000'!$E$13</definedName>
    <definedName name="s000.00170">'s000'!$E$14</definedName>
    <definedName name="s000.00180">'s000'!$E$15</definedName>
    <definedName name="s000.00190">'s000'!$E$16</definedName>
    <definedName name="s000.00200">'s000'!$E$19</definedName>
    <definedName name="s000.00210">'s000'!$E$20</definedName>
    <definedName name="s000.00220">'s000'!$E$21</definedName>
    <definedName name="s000.00230">'s000'!$E$22</definedName>
    <definedName name="s000.00300">'s000'!$A$27</definedName>
    <definedName name="s000.00330">'s000'!$A$33</definedName>
    <definedName name="s010.00008">'s010'!$F$14</definedName>
    <definedName name="s010.00010">'s010'!$F$16</definedName>
    <definedName name="s010.00100">'s010'!$F$17</definedName>
    <definedName name="s010.00101">'s010'!$F$18</definedName>
    <definedName name="s010.00102">'s010'!$F$19</definedName>
    <definedName name="s010.00103">'s010'!$F$20</definedName>
    <definedName name="s010.00104">'s010'!$F$21</definedName>
    <definedName name="s010.00105">'s010'!$F$22</definedName>
    <definedName name="s010.00106">'s010'!$F$23</definedName>
    <definedName name="s010.00107">'s010'!$F$24</definedName>
    <definedName name="s010.00108">'s010'!$F$25</definedName>
    <definedName name="s010.00109">'s010'!$F$26</definedName>
    <definedName name="s010.00110">'s010'!$F$27</definedName>
    <definedName name="s010.00200">'s010'!$F$28</definedName>
    <definedName name="s010.00201">'s010'!$F$29</definedName>
    <definedName name="s010.00202">'s010'!$F$30</definedName>
    <definedName name="s010.00203">'s010'!$F$31</definedName>
    <definedName name="s010.00204">'s010'!$F$32</definedName>
    <definedName name="s010.00205">'s010'!$F$33</definedName>
    <definedName name="s010.00206">'s010'!$F$34</definedName>
    <definedName name="s010.00207">'s010'!$F$35</definedName>
    <definedName name="s010.00208">'s010'!$F$36</definedName>
    <definedName name="s010.00209">'s010'!$F$37</definedName>
    <definedName name="s010.00210">'s010'!$F$38</definedName>
    <definedName name="s010.00211">'s010'!$F$39</definedName>
    <definedName name="s010.00212">'s010'!$F$40</definedName>
    <definedName name="s010.00213">'s010'!$F$41</definedName>
    <definedName name="s010.00214">'s010'!$F$42</definedName>
    <definedName name="s010.00215">'s010'!$F$43</definedName>
    <definedName name="s010.00216">'s010'!$F$44</definedName>
    <definedName name="s010.00217">'s010'!$F$45</definedName>
    <definedName name="s010.00218">'s010'!$F$46</definedName>
    <definedName name="s010.00219">'s010'!$F$47</definedName>
    <definedName name="s010.00220">'s010'!$F$48</definedName>
    <definedName name="s010.00221">'s010'!$F$49</definedName>
    <definedName name="s010.00222">'s010'!$F$50</definedName>
    <definedName name="s010.00223">'s010'!$F$51</definedName>
    <definedName name="s010.00230">'s010'!$F$52</definedName>
    <definedName name="s010.00231">'s010'!$F$53</definedName>
    <definedName name="s010.00232">'s010'!$F$54</definedName>
    <definedName name="s010.00240">'s010'!$F$55</definedName>
    <definedName name="s010.00241">'s010'!$F$56</definedName>
    <definedName name="s010.00242">'s010'!$F$57</definedName>
    <definedName name="s010.00250">'s010'!$F$59</definedName>
    <definedName name="s010.00260">'s010'!$F$61</definedName>
    <definedName name="s010.00270">'s010'!$F$62</definedName>
    <definedName name="s010.00280">'s010'!$F$64</definedName>
    <definedName name="s010.00290">'s010'!$F$66</definedName>
    <definedName name="s010.00300">'s010'!$F$67</definedName>
    <definedName name="s010.00310">'s010'!$F$68</definedName>
    <definedName name="s010.00311">'s010'!$F$69</definedName>
    <definedName name="s010.00312">'s010'!$F$70</definedName>
    <definedName name="s010.00313">'s010'!$F$71</definedName>
    <definedName name="s010.00314">'s010'!$F$72</definedName>
    <definedName name="s010.00315">'s010'!$F$73</definedName>
    <definedName name="s010.00316">'s010'!$F$74</definedName>
    <definedName name="s010.00317">'s010'!$F$75</definedName>
    <definedName name="s010.00318">'s010'!$F$76</definedName>
    <definedName name="s010.00319">'s010'!$F$77</definedName>
    <definedName name="s010.00320">'s010'!$F$78</definedName>
    <definedName name="s010.00400">'s010'!$F$79</definedName>
    <definedName name="s010.00401">'s010'!$F$80</definedName>
    <definedName name="s010.00402">'s010'!$F$81</definedName>
    <definedName name="s010.00403">'s010'!$F$82</definedName>
    <definedName name="s010.00404">'s010'!$F$83</definedName>
    <definedName name="s010.00405">'s010'!$F$84</definedName>
    <definedName name="s010.00406">'s010'!$F$85</definedName>
    <definedName name="s010.00407">'s010'!$F$86</definedName>
    <definedName name="s010.00408">'s010'!$F$87</definedName>
    <definedName name="s010.00409">'s010'!$F$88</definedName>
    <definedName name="s010.00410">'s010'!$F$89</definedName>
    <definedName name="s010.00411">'s010'!$F$90</definedName>
    <definedName name="s010.00412">'s010'!$F$91</definedName>
    <definedName name="s010.00413">'s010'!$F$92</definedName>
    <definedName name="s010.00414">'s010'!$F$93</definedName>
    <definedName name="s010.00415">'s010'!$F$94</definedName>
    <definedName name="s010.00416">'s010'!$F$95</definedName>
    <definedName name="s010.00417">'s010'!$F$96</definedName>
    <definedName name="s010.00418">'s010'!$F$97</definedName>
    <definedName name="s010.00419">'s010'!$F$98</definedName>
    <definedName name="s010.00420">'s010'!$F$99</definedName>
    <definedName name="s010.00421">'s010'!$F$100</definedName>
    <definedName name="s010.00422">'s010'!$F$101</definedName>
    <definedName name="s010.00423">'s010'!$F$102</definedName>
    <definedName name="s010.00430">'s010'!$F$103</definedName>
    <definedName name="s010.00431">'s010'!$F$104</definedName>
    <definedName name="s010.00432">'s010'!$F$105</definedName>
    <definedName name="s010.00440">'s010'!$F$106</definedName>
    <definedName name="s010.00441">'s010'!$F$107</definedName>
    <definedName name="s010.00442">'s010'!$F$108</definedName>
    <definedName name="s010.00450">'s010'!$F$110</definedName>
    <definedName name="s010.00451">'s010'!$F$111</definedName>
    <definedName name="s010.00452">'s010'!$F$112</definedName>
    <definedName name="s010.00460">'s010'!$F$114</definedName>
    <definedName name="s010.00461">'s010'!$F$115</definedName>
    <definedName name="s010.00462">'s010'!$F$116</definedName>
    <definedName name="s010.00500">'s010'!$F$118</definedName>
    <definedName name="s010.00650">'s010'!$F$122</definedName>
    <definedName name="s010.00660">'s010'!$F$124</definedName>
    <definedName name="s010.00700">'s010'!$F$126</definedName>
    <definedName name="s010.00710">'s010'!$F$127</definedName>
    <definedName name="s010.00711">'s010'!$F$128</definedName>
    <definedName name="s010.00712">'s010'!$F$129</definedName>
    <definedName name="s010.00713">'s010'!$F$130</definedName>
    <definedName name="s010.00714">'s010'!$F$131</definedName>
    <definedName name="s010.00715">'s010'!$F$132</definedName>
    <definedName name="s010.00720">'s010'!$F$133</definedName>
    <definedName name="s010.00721">'s010'!$F$134</definedName>
    <definedName name="s010.00722">'s010'!$F$135</definedName>
    <definedName name="s010.00723">'s010'!$F$136</definedName>
    <definedName name="s010.00724">'s010'!$F$137</definedName>
    <definedName name="s010.00725">'s010'!$F$138</definedName>
    <definedName name="s010.00726">'s010'!$F$139</definedName>
    <definedName name="s010.00730">'s010'!$F$140</definedName>
    <definedName name="s010.00731">'s010'!$F$141</definedName>
    <definedName name="s010.00732">'s010'!$F$142</definedName>
    <definedName name="s010.00740">'s010'!$F$143</definedName>
    <definedName name="s010.00741">'s010'!$F$144</definedName>
    <definedName name="s010.00742">'s010'!$F$145</definedName>
    <definedName name="s010.00750">'s010'!$F$147</definedName>
    <definedName name="s010.00760">'s010'!$F$149</definedName>
    <definedName name="s010.00770">'s010'!$F$151</definedName>
    <definedName name="s010.00780">'s010'!$F$153</definedName>
    <definedName name="s010.00800">'s010'!$F$155</definedName>
    <definedName name="s010.00810">'s010'!$F$156</definedName>
    <definedName name="s010.00820">'s010'!$F$157</definedName>
    <definedName name="s010.00821">'s010'!$F$158</definedName>
    <definedName name="s010.00822">'s010'!$F$159</definedName>
    <definedName name="s010.00823">'s010'!$F$160</definedName>
    <definedName name="s010.00824">'s010'!$F$161</definedName>
    <definedName name="s010.00825">'s010'!$F$162</definedName>
    <definedName name="s010.00830">'s010'!$F$163</definedName>
    <definedName name="s010.00831">'s010'!$F$164</definedName>
    <definedName name="s010.00832">'s010'!$F$165</definedName>
    <definedName name="s010.00833">'s010'!$F$166</definedName>
    <definedName name="s010.00834">'s010'!$F$167</definedName>
    <definedName name="s010.00835">'s010'!$F$168</definedName>
    <definedName name="s010.00836">'s010'!$F$169</definedName>
    <definedName name="s010.00840">'s010'!$F$170</definedName>
    <definedName name="s010.00841">'s010'!$F$171</definedName>
    <definedName name="s010.00842">'s010'!$F$172</definedName>
    <definedName name="s010.00850">'s010'!$F$173</definedName>
    <definedName name="s010.00851">'s010'!$F$174</definedName>
    <definedName name="s010.00852">'s010'!$F$175</definedName>
    <definedName name="s010.00900">'s010'!$F$177</definedName>
    <definedName name="s010.00910">'s010'!$F$178</definedName>
    <definedName name="s010.00911">'s010'!$F$179</definedName>
    <definedName name="s010.00912">'s010'!$F$180</definedName>
    <definedName name="s010.00913">'s010'!$F$181</definedName>
    <definedName name="s010.00914">'s010'!$F$182</definedName>
    <definedName name="s010.00915">'s010'!$F$183</definedName>
    <definedName name="s010.00916">'s010'!$F$184</definedName>
    <definedName name="s010.00917">'s010'!$F$185</definedName>
    <definedName name="s010.00918">'s010'!$F$186</definedName>
    <definedName name="s010.00920">'s010'!$F$187</definedName>
    <definedName name="s010.00930">'s010'!$F$188</definedName>
    <definedName name="s010.00940">'s010'!$F$190</definedName>
    <definedName name="s010.00950">'s010'!$F$192</definedName>
    <definedName name="s010.00960">'s010'!$F$194</definedName>
    <definedName name="s010.00970">'s010'!$F$196</definedName>
    <definedName name="s010.01000">'s010'!$F$198</definedName>
    <definedName name="s010.01008">'s010'!$H$14</definedName>
    <definedName name="s010.01010">'s010'!$H$16</definedName>
    <definedName name="s010.01100">'s010'!$H$17</definedName>
    <definedName name="s010.01101">'s010'!$H$18</definedName>
    <definedName name="s010.01102">'s010'!$H$19</definedName>
    <definedName name="s010.01103">'s010'!$H$20</definedName>
    <definedName name="s010.01104">'s010'!$H$21</definedName>
    <definedName name="s010.01105">'s010'!$H$22</definedName>
    <definedName name="s010.01106">'s010'!$H$23</definedName>
    <definedName name="s010.01107">'s010'!$H$24</definedName>
    <definedName name="s010.01108">'s010'!$H$25</definedName>
    <definedName name="s010.01109">'s010'!$H$26</definedName>
    <definedName name="s010.01110">'s010'!$H$27</definedName>
    <definedName name="s010.01200">'s010'!$H$28</definedName>
    <definedName name="s010.01201">'s010'!$H$29</definedName>
    <definedName name="s010.01202">'s010'!$H$30</definedName>
    <definedName name="s010.01203">'s010'!$H$31</definedName>
    <definedName name="s010.01204">'s010'!$H$32</definedName>
    <definedName name="s010.01205">'s010'!$H$33</definedName>
    <definedName name="s010.01206">'s010'!$H$34</definedName>
    <definedName name="s010.01207">'s010'!$H$35</definedName>
    <definedName name="s010.01208">'s010'!$H$36</definedName>
    <definedName name="s010.01209">'s010'!$H$37</definedName>
    <definedName name="s010.01210">'s010'!$H$38</definedName>
    <definedName name="s010.01211">'s010'!$H$39</definedName>
    <definedName name="s010.01212">'s010'!$H$40</definedName>
    <definedName name="s010.01213">'s010'!$H$41</definedName>
    <definedName name="s010.01214">'s010'!$H$42</definedName>
    <definedName name="s010.01215">'s010'!$H$43</definedName>
    <definedName name="s010.01216">'s010'!$H$44</definedName>
    <definedName name="s010.01217">'s010'!$H$45</definedName>
    <definedName name="s010.01218">'s010'!$H$46</definedName>
    <definedName name="s010.01219">'s010'!$H$47</definedName>
    <definedName name="s010.01220">'s010'!$H$48</definedName>
    <definedName name="s010.01221">'s010'!$H$49</definedName>
    <definedName name="s010.01222">'s010'!$H$50</definedName>
    <definedName name="s010.01223">'s010'!$H$51</definedName>
    <definedName name="s010.01230">'s010'!$H$52</definedName>
    <definedName name="s010.01231">'s010'!$H$53</definedName>
    <definedName name="s010.01232">'s010'!$H$54</definedName>
    <definedName name="s010.01240">'s010'!$H$55</definedName>
    <definedName name="s010.01241">'s010'!$H$56</definedName>
    <definedName name="s010.01242">'s010'!$H$57</definedName>
    <definedName name="s010.01250">'s010'!$H$59</definedName>
    <definedName name="s010.01260">'s010'!$H$61</definedName>
    <definedName name="s010.01270">'s010'!$H$62</definedName>
    <definedName name="s010.01280">'s010'!$H$64</definedName>
    <definedName name="s010.01290">'s010'!$H$66</definedName>
    <definedName name="s010.01300">'s010'!$H$67</definedName>
    <definedName name="s010.01310">'s010'!$H$68</definedName>
    <definedName name="s010.01311">'s010'!$H$69</definedName>
    <definedName name="s010.01312">'s010'!$H$70</definedName>
    <definedName name="s010.01313">'s010'!$H$71</definedName>
    <definedName name="s010.01314">'s010'!$H$72</definedName>
    <definedName name="s010.01315">'s010'!$H$73</definedName>
    <definedName name="s010.01316">'s010'!$H$74</definedName>
    <definedName name="s010.01317">'s010'!$H$75</definedName>
    <definedName name="s010.01318">'s010'!$H$76</definedName>
    <definedName name="s010.01319">'s010'!$H$77</definedName>
    <definedName name="s010.01320">'s010'!$H$78</definedName>
    <definedName name="s010.01400">'s010'!$H$79</definedName>
    <definedName name="s010.01401">'s010'!$H$80</definedName>
    <definedName name="s010.01402">'s010'!$H$81</definedName>
    <definedName name="s010.01403">'s010'!$H$82</definedName>
    <definedName name="s010.01404">'s010'!$H$83</definedName>
    <definedName name="s010.01405">'s010'!$H$84</definedName>
    <definedName name="s010.01406">'s010'!$H$85</definedName>
    <definedName name="s010.01407">'s010'!$H$86</definedName>
    <definedName name="s010.01408">'s010'!$H$87</definedName>
    <definedName name="s010.01409">'s010'!$H$88</definedName>
    <definedName name="s010.01410">'s010'!$H$89</definedName>
    <definedName name="s010.01411">'s010'!$H$90</definedName>
    <definedName name="s010.01412">'s010'!$H$91</definedName>
    <definedName name="s010.01413">'s010'!$H$92</definedName>
    <definedName name="s010.01414">'s010'!$H$93</definedName>
    <definedName name="s010.01415">'s010'!$H$94</definedName>
    <definedName name="s010.01416">'s010'!$H$95</definedName>
    <definedName name="s010.01417">'s010'!$H$96</definedName>
    <definedName name="s010.01418">'s010'!$H$97</definedName>
    <definedName name="s010.01419">'s010'!$H$98</definedName>
    <definedName name="s010.01420">'s010'!$H$99</definedName>
    <definedName name="s010.01421">'s010'!$H$100</definedName>
    <definedName name="s010.01422">'s010'!$H$101</definedName>
    <definedName name="s010.01423">'s010'!$H$102</definedName>
    <definedName name="s010.01430">'s010'!$H$103</definedName>
    <definedName name="s010.01431">'s010'!$H$104</definedName>
    <definedName name="s010.01432">'s010'!$H$105</definedName>
    <definedName name="s010.01440">'s010'!$H$106</definedName>
    <definedName name="s010.01441">'s010'!$H$107</definedName>
    <definedName name="s010.01442">'s010'!$H$108</definedName>
    <definedName name="s010.01450">'s010'!$H$110</definedName>
    <definedName name="s010.01451">'s010'!$H$111</definedName>
    <definedName name="s010.01452">'s010'!$H$112</definedName>
    <definedName name="s010.01460">'s010'!$H$114</definedName>
    <definedName name="s010.01461">'s010'!$H$115</definedName>
    <definedName name="s010.01462">'s010'!$H$116</definedName>
    <definedName name="s010.01500">'s010'!$H$118</definedName>
    <definedName name="s010.01650">'s010'!$H$122</definedName>
    <definedName name="s010.01660">'s010'!$H$124</definedName>
    <definedName name="s010.01700">'s010'!$H$126</definedName>
    <definedName name="s010.01710">'s010'!$H$127</definedName>
    <definedName name="s010.01711">'s010'!$H$128</definedName>
    <definedName name="s010.01712">'s010'!$H$129</definedName>
    <definedName name="s010.01713">'s010'!$H$130</definedName>
    <definedName name="s010.01714">'s010'!$H$131</definedName>
    <definedName name="s010.01715">'s010'!$H$132</definedName>
    <definedName name="s010.01720">'s010'!$H$133</definedName>
    <definedName name="s010.01721">'s010'!$H$134</definedName>
    <definedName name="s010.01722">'s010'!$H$135</definedName>
    <definedName name="s010.01723">'s010'!$H$136</definedName>
    <definedName name="s010.01724">'s010'!$H$137</definedName>
    <definedName name="s010.01725">'s010'!$H$138</definedName>
    <definedName name="s010.01726">'s010'!$H$139</definedName>
    <definedName name="s010.01730">'s010'!$H$140</definedName>
    <definedName name="s010.01731">'s010'!$H$141</definedName>
    <definedName name="s010.01732">'s010'!$H$142</definedName>
    <definedName name="s010.01740">'s010'!$H$143</definedName>
    <definedName name="s010.01741">'s010'!$H$144</definedName>
    <definedName name="s010.01742">'s010'!$H$145</definedName>
    <definedName name="s010.01750">'s010'!$H$147</definedName>
    <definedName name="s010.01760">'s010'!$H$149</definedName>
    <definedName name="s010.01770">'s010'!$H$151</definedName>
    <definedName name="s010.01780">'s010'!$H$153</definedName>
    <definedName name="s010.01800">'s010'!$H$155</definedName>
    <definedName name="s010.01810">'s010'!$H$156</definedName>
    <definedName name="s010.01820">'s010'!$H$157</definedName>
    <definedName name="s010.01821">'s010'!$H$158</definedName>
    <definedName name="s010.01822">'s010'!$H$159</definedName>
    <definedName name="s010.01823">'s010'!$H$160</definedName>
    <definedName name="s010.01824">'s010'!$H$161</definedName>
    <definedName name="s010.01825">'s010'!$H$162</definedName>
    <definedName name="s010.01830">'s010'!$H$163</definedName>
    <definedName name="s010.01831">'s010'!$H$164</definedName>
    <definedName name="s010.01832">'s010'!$H$165</definedName>
    <definedName name="s010.01833">'s010'!$H$166</definedName>
    <definedName name="s010.01834">'s010'!$H$167</definedName>
    <definedName name="s010.01835">'s010'!$H$168</definedName>
    <definedName name="s010.01836">'s010'!$H$169</definedName>
    <definedName name="s010.01840">'s010'!$H$170</definedName>
    <definedName name="s010.01841">'s010'!$H$171</definedName>
    <definedName name="s010.01842">'s010'!$H$172</definedName>
    <definedName name="s010.01850">'s010'!$H$173</definedName>
    <definedName name="s010.01851">'s010'!$H$174</definedName>
    <definedName name="s010.01852">'s010'!$H$175</definedName>
    <definedName name="s010.01900">'s010'!$H$177</definedName>
    <definedName name="s010.01910">'s010'!$H$178</definedName>
    <definedName name="s010.01911">'s010'!$H$179</definedName>
    <definedName name="s010.01912">'s010'!$H$180</definedName>
    <definedName name="s010.01913">'s010'!$H$181</definedName>
    <definedName name="s010.01914">'s010'!$H$182</definedName>
    <definedName name="s010.01915">'s010'!$H$183</definedName>
    <definedName name="s010.01916">'s010'!$H$184</definedName>
    <definedName name="s010.01917">'s010'!$H$185</definedName>
    <definedName name="s010.01918">'s010'!$H$186</definedName>
    <definedName name="s010.01920">'s010'!$H$187</definedName>
    <definedName name="s010.01930">'s010'!$H$188</definedName>
    <definedName name="s010.01940">'s010'!$H$190</definedName>
    <definedName name="s010.01950">'s010'!$H$192</definedName>
    <definedName name="s010.01960">'s010'!$H$194</definedName>
    <definedName name="s010.01970">'s010'!$H$196</definedName>
    <definedName name="s010.02000">'s010'!$H$198</definedName>
    <definedName name="s020.00100">'s020'!$E$12</definedName>
    <definedName name="s020.00110">'s020'!$E$13</definedName>
    <definedName name="s020.00120">'s020'!$E$14</definedName>
    <definedName name="s020.00130">'s020'!$E$15</definedName>
    <definedName name="s020.00200">'s020'!$E$17</definedName>
    <definedName name="s020.00210">'s020'!$E$18</definedName>
    <definedName name="s020.00220">'s020'!$E$19</definedName>
    <definedName name="s020.00230">'s020'!$E$20</definedName>
    <definedName name="s020.00250">'s020'!$E$22</definedName>
    <definedName name="s020.00300">'s020'!$E$24</definedName>
    <definedName name="s020.00310">'s020'!$E$25</definedName>
    <definedName name="s020.00320">'s020'!$E$26</definedName>
    <definedName name="s020.00330">'s020'!$E$27</definedName>
    <definedName name="s020.00400">'s020'!$E$29</definedName>
    <definedName name="s020.00500">'s020'!$E$31</definedName>
    <definedName name="s020.00600">'s020'!$E$33</definedName>
    <definedName name="s020.00610">'s020'!$E$34</definedName>
    <definedName name="s020.00611">'s020'!$E$35</definedName>
    <definedName name="s020.00612">'s020'!$E$36</definedName>
    <definedName name="s020.00613">'s020'!$E$37</definedName>
    <definedName name="s020.00614">'s020'!$E$38</definedName>
    <definedName name="s020.00620">'s020'!$E$39</definedName>
    <definedName name="s020.00630">'s020'!$E$40</definedName>
    <definedName name="s020.00631">'s020'!$E$41</definedName>
    <definedName name="s020.00632">'s020'!$E$42</definedName>
    <definedName name="s020.00633">'s020'!$E$43</definedName>
    <definedName name="s020.00634">'s020'!$E$44</definedName>
    <definedName name="s020.00635">'s020'!$E$45</definedName>
    <definedName name="s020.00636">'s020'!$E$46</definedName>
    <definedName name="s020.00637">'s020'!$E$47</definedName>
    <definedName name="s020.00700">'s020'!$E$49</definedName>
    <definedName name="s020.00710">'s020'!$E$50</definedName>
    <definedName name="s020.00720">'s020'!$E$51</definedName>
    <definedName name="s020.00730">'s020'!$E$52</definedName>
    <definedName name="s020.00740">'s020'!$E$53</definedName>
    <definedName name="s020.00750">'s020'!$E$55</definedName>
    <definedName name="s020.00800">'s020'!$E$57</definedName>
    <definedName name="s020.00850">'s020'!$E$59</definedName>
    <definedName name="s020.00900">'s020'!$E$61</definedName>
    <definedName name="s020.00950">'s020'!$E$63</definedName>
    <definedName name="s020.01100">'s020'!$G$12</definedName>
    <definedName name="s020.01110">'s020'!$G$13</definedName>
    <definedName name="s020.01120">'s020'!$G$14</definedName>
    <definedName name="s020.01130">'s020'!$G$15</definedName>
    <definedName name="s020.01200">'s020'!$G$17</definedName>
    <definedName name="s020.01210">'s020'!$G$18</definedName>
    <definedName name="s020.01220">'s020'!$G$19</definedName>
    <definedName name="s020.01230">'s020'!$G$20</definedName>
    <definedName name="s020.01250">'s020'!$G$22</definedName>
    <definedName name="s020.01300">'s020'!$G$24</definedName>
    <definedName name="s020.01310">'s020'!$G$25</definedName>
    <definedName name="s020.01320">'s020'!$G$26</definedName>
    <definedName name="s020.01330">'s020'!$G$27</definedName>
    <definedName name="s020.01400">'s020'!$G$29</definedName>
    <definedName name="s020.01500">'s020'!$G$31</definedName>
    <definedName name="s020.01600">'s020'!$G$33</definedName>
    <definedName name="s020.01610">'s020'!$G$34</definedName>
    <definedName name="s020.01611">'s020'!$G$35</definedName>
    <definedName name="s020.01612">'s020'!$G$36</definedName>
    <definedName name="s020.01613">'s020'!$G$37</definedName>
    <definedName name="s020.01614">'s020'!$G$38</definedName>
    <definedName name="s020.01620">'s020'!$G$39</definedName>
    <definedName name="s020.01630">'s020'!$G$40</definedName>
    <definedName name="s020.01631">'s020'!$G$41</definedName>
    <definedName name="s020.01632">'s020'!$G$42</definedName>
    <definedName name="s020.01633">'s020'!$G$43</definedName>
    <definedName name="s020.01634">'s020'!$G$44</definedName>
    <definedName name="s020.01635">'s020'!$G$45</definedName>
    <definedName name="s020.01636">'s020'!$G$46</definedName>
    <definedName name="s020.01637">'s020'!$G$47</definedName>
    <definedName name="s020.01700">'s020'!$G$49</definedName>
    <definedName name="s020.01710">'s020'!$G$50</definedName>
    <definedName name="s020.01720">'s020'!$G$51</definedName>
    <definedName name="s020.01730">'s020'!$G$52</definedName>
    <definedName name="s020.01740">'s020'!$G$53</definedName>
    <definedName name="s020.01750">'s020'!$G$55</definedName>
    <definedName name="s020.01800">'s020'!$G$57</definedName>
    <definedName name="s020.01850">'s020'!$G$59</definedName>
    <definedName name="s020.01900">'s020'!$G$61</definedName>
    <definedName name="s020.01950">'s020'!$G$63</definedName>
    <definedName name="s020.02100">'s020'!$I$12</definedName>
    <definedName name="s020.02110">'s020'!$I$13</definedName>
    <definedName name="s020.02120">'s020'!$I$14</definedName>
    <definedName name="s020.02130">'s020'!$I$15</definedName>
    <definedName name="s020.02200">'s020'!$I$17</definedName>
    <definedName name="s020.02210">'s020'!$I$18</definedName>
    <definedName name="s020.02220">'s020'!$I$19</definedName>
    <definedName name="s020.02230">'s020'!$I$20</definedName>
    <definedName name="s020.02250">'s020'!$I$22</definedName>
    <definedName name="s020.02300">'s020'!$I$24</definedName>
    <definedName name="s020.02310">'s020'!$I$25</definedName>
    <definedName name="s020.02320">'s020'!$I$26</definedName>
    <definedName name="s020.02330">'s020'!$I$27</definedName>
    <definedName name="s020.02400">'s020'!$I$29</definedName>
    <definedName name="s020.02500">'s020'!$I$31</definedName>
    <definedName name="s020.02600">'s020'!$I$33</definedName>
    <definedName name="s020.02610">'s020'!$I$34</definedName>
    <definedName name="s020.02611">'s020'!$I$35</definedName>
    <definedName name="s020.02612">'s020'!$I$36</definedName>
    <definedName name="s020.02613">'s020'!$I$37</definedName>
    <definedName name="s020.02614">'s020'!$I$38</definedName>
    <definedName name="s020.02620">'s020'!$I$39</definedName>
    <definedName name="s020.02630">'s020'!$I$40</definedName>
    <definedName name="s020.02631">'s020'!$I$41</definedName>
    <definedName name="s020.02632">'s020'!$I$42</definedName>
    <definedName name="s020.02633">'s020'!$I$43</definedName>
    <definedName name="s020.02634">'s020'!$I$44</definedName>
    <definedName name="s020.02635">'s020'!$I$45</definedName>
    <definedName name="s020.02636">'s020'!$I$46</definedName>
    <definedName name="s020.02637">'s020'!$I$47</definedName>
    <definedName name="s020.02700">'s020'!$I$49</definedName>
    <definedName name="s020.02710">'s020'!$I$50</definedName>
    <definedName name="s020.02720">'s020'!$I$51</definedName>
    <definedName name="s020.02730">'s020'!$I$52</definedName>
    <definedName name="s020.02740">'s020'!$I$53</definedName>
    <definedName name="s020.02750">'s020'!$I$55</definedName>
    <definedName name="s020.02800">'s020'!$I$57</definedName>
    <definedName name="s020.02850">'s020'!$I$59</definedName>
    <definedName name="s020.02900">'s020'!$I$61</definedName>
    <definedName name="s020.02950">'s020'!$I$63</definedName>
    <definedName name="s020.03000">'s020'!$E$65</definedName>
    <definedName name="s020.03100">'s020'!$K$12</definedName>
    <definedName name="s020.03110">'s020'!$K$13</definedName>
    <definedName name="s020.03120">'s020'!$K$14</definedName>
    <definedName name="s020.03130">'s020'!$K$15</definedName>
    <definedName name="s020.03200">'s020'!$K$17</definedName>
    <definedName name="s020.03210">'s020'!$K$18</definedName>
    <definedName name="s020.03220">'s020'!$K$19</definedName>
    <definedName name="s020.03230">'s020'!$K$20</definedName>
    <definedName name="s020.03250">'s020'!$K$22</definedName>
    <definedName name="s020.03300">'s020'!$K$24</definedName>
    <definedName name="s020.03310">'s020'!$K$25</definedName>
    <definedName name="s020.03320">'s020'!$K$26</definedName>
    <definedName name="s020.03330">'s020'!$K$27</definedName>
    <definedName name="s020.03400">'s020'!$K$29</definedName>
    <definedName name="s020.03500">'s020'!$K$31</definedName>
    <definedName name="s020.03600">'s020'!$K$33</definedName>
    <definedName name="s020.03610">'s020'!$K$34</definedName>
    <definedName name="s020.03611">'s020'!$K$35</definedName>
    <definedName name="s020.03612">'s020'!$K$36</definedName>
    <definedName name="s020.03613">'s020'!$K$37</definedName>
    <definedName name="s020.03614">'s020'!$K$38</definedName>
    <definedName name="s020.03620">'s020'!$K$39</definedName>
    <definedName name="s020.03630">'s020'!$K$40</definedName>
    <definedName name="s020.03631">'s020'!$K$41</definedName>
    <definedName name="s020.03632">'s020'!$K$42</definedName>
    <definedName name="s020.03633">'s020'!$K$43</definedName>
    <definedName name="s020.03634">'s020'!$K$44</definedName>
    <definedName name="s020.03635">'s020'!$K$45</definedName>
    <definedName name="s020.03636">'s020'!$K$46</definedName>
    <definedName name="s020.03637">'s020'!$K$47</definedName>
    <definedName name="s020.03700">'s020'!$K$49</definedName>
    <definedName name="s020.03710">'s020'!$K$50</definedName>
    <definedName name="s020.03720">'s020'!$K$51</definedName>
    <definedName name="s020.03730">'s020'!$K$52</definedName>
    <definedName name="s020.03740">'s020'!$K$53</definedName>
    <definedName name="s020.03750">'s020'!$K$55</definedName>
    <definedName name="s020.03800">'s020'!$K$57</definedName>
    <definedName name="s020.03850">'s020'!$K$59</definedName>
    <definedName name="s020.03900">'s020'!$K$61</definedName>
    <definedName name="s020.03950">'s020'!$K$63</definedName>
    <definedName name="s020.04000">'s020'!$G$65</definedName>
    <definedName name="s020.05000">'s020'!$I$65</definedName>
    <definedName name="s020.06000">'s020'!$K$65</definedName>
    <definedName name="s030.08000">'s030'!$E$12</definedName>
    <definedName name="s030.08100">'s030'!$E$14</definedName>
    <definedName name="s030.08110">'s030'!$E$15</definedName>
    <definedName name="s030.08120">'s030'!$E$16</definedName>
    <definedName name="s030.08130">'s030'!$E$17</definedName>
    <definedName name="s030.08140">'s030'!$E$18</definedName>
    <definedName name="s030.08150">'s030'!$E$19</definedName>
    <definedName name="s030.08160">'s030'!$E$20</definedName>
    <definedName name="s030.08200">'s030'!$E$22</definedName>
    <definedName name="s030.08210">'s030'!$E$23</definedName>
    <definedName name="s030.08220">'s030'!$E$24</definedName>
    <definedName name="s030.08230">'s030'!$E$25</definedName>
    <definedName name="s030.08240">'s030'!$E$26</definedName>
    <definedName name="s030.08250">'s030'!$E$27</definedName>
    <definedName name="s030.08300">'s030'!$E$29</definedName>
    <definedName name="s030.08310">'s030'!$E$30</definedName>
    <definedName name="s030.08320">'s030'!$E$31</definedName>
    <definedName name="s030.08330">'s030'!$E$32</definedName>
    <definedName name="s030.08350">'s030'!$E$34</definedName>
    <definedName name="s030.08400">'s030'!$E$36</definedName>
    <definedName name="s030.08410">'s030'!$E$37</definedName>
    <definedName name="s030.08420">'s030'!$E$38</definedName>
    <definedName name="s030.08500">'s030'!$E$39</definedName>
    <definedName name="s030.08510">'s030'!$E$40</definedName>
    <definedName name="s030.08520">'s030'!$E$41</definedName>
    <definedName name="s030.08600">'s030'!$E$42</definedName>
    <definedName name="s030.08610">'s030'!$E$43</definedName>
    <definedName name="s030.08620">'s030'!$E$44</definedName>
    <definedName name="s030.08630">'s030'!$E$45</definedName>
    <definedName name="s030.08700">'s030'!$E$46</definedName>
    <definedName name="s030.08710">'s030'!$E$47</definedName>
    <definedName name="s030.08720">'s030'!$E$48</definedName>
    <definedName name="s030.08730">'s030'!$E$49</definedName>
    <definedName name="s030.08740">'s030'!$E$50</definedName>
    <definedName name="s030.08750">'s030'!$E$51</definedName>
    <definedName name="s030.08770">'s030'!$E$52</definedName>
    <definedName name="s030.08780">'s030'!$E$53</definedName>
    <definedName name="s030.08800">'s030'!$E$55</definedName>
    <definedName name="s030.08900">'s030'!$E$57</definedName>
    <definedName name="s030.08990">'s030'!$E$58</definedName>
    <definedName name="s030.09000">'s030'!$G$12</definedName>
    <definedName name="s030.09100">'s030'!$G$14</definedName>
    <definedName name="s030.09110">'s030'!$G$15</definedName>
    <definedName name="s030.09120">'s030'!$G$16</definedName>
    <definedName name="s030.09130">'s030'!$G$17</definedName>
    <definedName name="s030.09140">'s030'!$G$18</definedName>
    <definedName name="s030.09150">'s030'!$G$19</definedName>
    <definedName name="s030.09160">'s030'!$G$20</definedName>
    <definedName name="s030.09200">'s030'!$G$22</definedName>
    <definedName name="s030.09210">'s030'!$G$23</definedName>
    <definedName name="s030.09220">'s030'!$G$24</definedName>
    <definedName name="s030.09230">'s030'!$G$25</definedName>
    <definedName name="s030.09240">'s030'!$G$26</definedName>
    <definedName name="s030.09250">'s030'!$G$27</definedName>
    <definedName name="s030.09300">'s030'!$G$29</definedName>
    <definedName name="s030.09310">'s030'!$G$30</definedName>
    <definedName name="s030.09320">'s030'!$G$31</definedName>
    <definedName name="s030.09330">'s030'!$G$32</definedName>
    <definedName name="s030.09350">'s030'!$G$34</definedName>
    <definedName name="s030.09400">'s030'!$G$36</definedName>
    <definedName name="s030.09410">'s030'!$G$37</definedName>
    <definedName name="s030.09420">'s030'!$G$38</definedName>
    <definedName name="s030.09500">'s030'!$G$39</definedName>
    <definedName name="s030.09510">'s030'!$G$40</definedName>
    <definedName name="s030.09520">'s030'!$G$41</definedName>
    <definedName name="s030.09600">'s030'!$G$42</definedName>
    <definedName name="s030.09610">'s030'!$G$43</definedName>
    <definedName name="s030.09620">'s030'!$G$44</definedName>
    <definedName name="s030.09630">'s030'!$G$45</definedName>
    <definedName name="s030.09700">'s030'!$G$46</definedName>
    <definedName name="s030.09710">'s030'!$G$47</definedName>
    <definedName name="s030.09720">'s030'!$G$48</definedName>
    <definedName name="s030.09730">'s030'!$G$49</definedName>
    <definedName name="s030.09740">'s030'!$G$50</definedName>
    <definedName name="s030.09750">'s030'!$G$51</definedName>
    <definedName name="s030.09770">'s030'!$G$52</definedName>
    <definedName name="s030.09780">'s030'!$G$53</definedName>
    <definedName name="s030.09800">'s030'!$G$55</definedName>
    <definedName name="s030.09900">'s030'!$G$57</definedName>
    <definedName name="s030.09990">'s030'!$G$58</definedName>
    <definedName name="s040.06010">'s040'!$D$12</definedName>
    <definedName name="s040.06020">'s040'!$D$13</definedName>
    <definedName name="s040.06021">'s040'!$D$14</definedName>
    <definedName name="s040.06022">'s040'!$D$15</definedName>
    <definedName name="s040.06030">'s040'!$D$16</definedName>
    <definedName name="s040.06040">'s040'!$D$17</definedName>
    <definedName name="s040.06100">'s040'!$D$18</definedName>
    <definedName name="s040.06110">'s040'!$D$20</definedName>
    <definedName name="s040.06120">'s040'!$D$21</definedName>
    <definedName name="s040.06121">'s040'!$D$22</definedName>
    <definedName name="s040.06122">'s040'!$D$23</definedName>
    <definedName name="s040.06130">'s040'!$D$24</definedName>
    <definedName name="s040.06140">'s040'!$D$25</definedName>
    <definedName name="s040.06200">'s040'!$D$26</definedName>
    <definedName name="s040.06310">'s040'!$D$28</definedName>
    <definedName name="s040.06320">'s040'!$D$29</definedName>
    <definedName name="s040.06321">'s040'!$D$30</definedName>
    <definedName name="s040.06322">'s040'!$D$31</definedName>
    <definedName name="s040.06330">'s040'!$D$32</definedName>
    <definedName name="s040.06400">'s040'!$D$33</definedName>
    <definedName name="s040.06500">'s040'!$D$35</definedName>
    <definedName name="s040.07010">'s040'!$F$12</definedName>
    <definedName name="s040.07020">'s040'!$F$13</definedName>
    <definedName name="s040.07021">'s040'!$F$14</definedName>
    <definedName name="s040.07022">'s040'!$F$15</definedName>
    <definedName name="s040.07030">'s040'!$F$16</definedName>
    <definedName name="s040.07040">'s040'!$F$17</definedName>
    <definedName name="s040.07100">'s040'!$F$18</definedName>
    <definedName name="s040.07110">'s040'!$F$20</definedName>
    <definedName name="s040.07120">'s040'!$F$21</definedName>
    <definedName name="s040.07121">'s040'!$F$22</definedName>
    <definedName name="s040.07122">'s040'!$F$23</definedName>
    <definedName name="s040.07130">'s040'!$F$24</definedName>
    <definedName name="s040.07140">'s040'!$F$25</definedName>
    <definedName name="s040.07200">'s040'!$F$26</definedName>
    <definedName name="s040.07310">'s040'!$F$28</definedName>
    <definedName name="s040.07320">'s040'!$F$29</definedName>
    <definedName name="s040.07321">'s040'!$F$30</definedName>
    <definedName name="s040.07322">'s040'!$F$31</definedName>
    <definedName name="s040.07330">'s040'!$F$32</definedName>
    <definedName name="s040.07400">'s040'!$F$33</definedName>
    <definedName name="s040.07500">'s040'!$F$35</definedName>
    <definedName name="s051.00000">'s051'!$E$9</definedName>
    <definedName name="s051.00001">'s051'!$G$18</definedName>
    <definedName name="s051.00002">'s051'!$G$19</definedName>
    <definedName name="s051.00003">'s051'!$G$20</definedName>
    <definedName name="s051.00004">'s051'!$G$21</definedName>
    <definedName name="s051.00005">'s051'!$G$22</definedName>
    <definedName name="s051.00007">'s051'!$G$23</definedName>
    <definedName name="s051.00008">'s051'!$G$24</definedName>
    <definedName name="s051.00009">'s051'!$G$25</definedName>
    <definedName name="s051.00010">'s051'!$G$26</definedName>
    <definedName name="s051.00011">'s051'!$G$27</definedName>
    <definedName name="s051.00012">'s051'!$G$28</definedName>
    <definedName name="s051.00013">'s051'!$G$29</definedName>
    <definedName name="s051.00014">'s051'!$G$30</definedName>
    <definedName name="s051.00015">'s051'!$G$31</definedName>
    <definedName name="s051.00016">'s051'!$G$32</definedName>
    <definedName name="s051.00017">'s051'!$G$33</definedName>
    <definedName name="s051.00018">'s051'!$G$34</definedName>
    <definedName name="s051.00019">'s051'!$G$35</definedName>
    <definedName name="s051.00020">'s051'!$G$36</definedName>
    <definedName name="s051.00021">'s051'!$G$37</definedName>
    <definedName name="s051.00030">'s051'!$I$18</definedName>
    <definedName name="s051.00031">'s051'!$I$19</definedName>
    <definedName name="s051.00032">'s051'!$I$20</definedName>
    <definedName name="s051.00033">'s051'!$I$21</definedName>
    <definedName name="s051.00034">'s051'!$I$22</definedName>
    <definedName name="s051.00036">'s051'!$I$23</definedName>
    <definedName name="s051.00037">'s051'!$I$24</definedName>
    <definedName name="s051.00038">'s051'!$I$25</definedName>
    <definedName name="s051.00039">'s051'!$I$26</definedName>
    <definedName name="s051.00040">'s051'!$I$27</definedName>
    <definedName name="s051.00041">'s051'!$I$28</definedName>
    <definedName name="s051.00042">'s051'!$I$29</definedName>
    <definedName name="s051.00043">'s051'!$I$30</definedName>
    <definedName name="s051.00044">'s051'!$I$31</definedName>
    <definedName name="s051.00045">'s051'!$I$32</definedName>
    <definedName name="s051.00046">'s051'!$I$33</definedName>
    <definedName name="s051.00047">'s051'!$I$34</definedName>
    <definedName name="s051.00048">'s051'!$I$35</definedName>
    <definedName name="s051.00049">'s051'!$I$36</definedName>
    <definedName name="s051.00050">'s051'!$I$37</definedName>
    <definedName name="s051.00060">'s051'!$M$18</definedName>
    <definedName name="s051.00061">'s051'!$M$19</definedName>
    <definedName name="s051.00062">'s051'!$M$20</definedName>
    <definedName name="s051.00063">'s051'!$M$21</definedName>
    <definedName name="s051.00064">'s051'!$M$22</definedName>
    <definedName name="s051.00066">'s051'!$M$23</definedName>
    <definedName name="s051.00067">'s051'!$M$24</definedName>
    <definedName name="s051.00068">'s051'!$M$25</definedName>
    <definedName name="s051.00069">'s051'!$M$26</definedName>
    <definedName name="s051.00070">'s051'!$M$27</definedName>
    <definedName name="s051.00071">'s051'!$M$28</definedName>
    <definedName name="s051.00072">'s051'!$M$29</definedName>
    <definedName name="s051.00073">'s051'!$M$30</definedName>
    <definedName name="s051.00074">'s051'!$M$31</definedName>
    <definedName name="s051.00075">'s051'!$M$32</definedName>
    <definedName name="s051.00076">'s051'!$M$33</definedName>
    <definedName name="s051.00077">'s051'!$M$34</definedName>
    <definedName name="s051.00078">'s051'!$M$35</definedName>
    <definedName name="s051.00079">'s051'!$M$36</definedName>
    <definedName name="s051.00080">'s051'!$M$37</definedName>
    <definedName name="s051.00090">'s051'!$O$18</definedName>
    <definedName name="s051.00091">'s051'!$O$19</definedName>
    <definedName name="s051.00092">'s051'!$O$20</definedName>
    <definedName name="s051.00093">'s051'!$O$21</definedName>
    <definedName name="s051.00094">'s051'!$O$22</definedName>
    <definedName name="s051.00096">'s051'!$O$23</definedName>
    <definedName name="s051.00097">'s051'!$O$24</definedName>
    <definedName name="s051.00098">'s051'!$O$25</definedName>
    <definedName name="s051.00099">'s051'!$O$26</definedName>
    <definedName name="s051.00100">'s051'!$O$27</definedName>
    <definedName name="s051.00101">'s051'!$O$28</definedName>
    <definedName name="s051.00102">'s051'!$O$29</definedName>
    <definedName name="s051.00103">'s051'!$O$30</definedName>
    <definedName name="s051.00104">'s051'!$O$31</definedName>
    <definedName name="s051.00105">'s051'!$O$32</definedName>
    <definedName name="s051.00106">'s051'!$O$33</definedName>
    <definedName name="s051.00107">'s051'!$O$34</definedName>
    <definedName name="s051.00108">'s051'!$O$35</definedName>
    <definedName name="s051.00109">'s051'!$O$36</definedName>
    <definedName name="s051.00110">'s051'!$O$37</definedName>
    <definedName name="s051.00120">'s051'!$S$18</definedName>
    <definedName name="s051.00121">'s051'!$S$19</definedName>
    <definedName name="s051.00122">'s051'!$S$20</definedName>
    <definedName name="s051.00123">'s051'!$S$21</definedName>
    <definedName name="s051.00124">'s051'!$S$22</definedName>
    <definedName name="s051.00126">'s051'!$S$23</definedName>
    <definedName name="s051.00127">'s051'!$S$24</definedName>
    <definedName name="s051.00128">'s051'!$S$25</definedName>
    <definedName name="s051.00129">'s051'!$S$26</definedName>
    <definedName name="s051.00130">'s051'!$S$27</definedName>
    <definedName name="s051.00131">'s051'!$S$28</definedName>
    <definedName name="s051.00132">'s051'!$S$29</definedName>
    <definedName name="s051.00133">'s051'!$S$30</definedName>
    <definedName name="s051.00134">'s051'!$S$31</definedName>
    <definedName name="s051.00135">'s051'!$S$32</definedName>
    <definedName name="s051.00136">'s051'!$S$33</definedName>
    <definedName name="s051.00137">'s051'!$S$34</definedName>
    <definedName name="s051.00138">'s051'!$S$35</definedName>
    <definedName name="s051.00139">'s051'!$S$36</definedName>
    <definedName name="s051.00140">'s051'!$S$37</definedName>
    <definedName name="s051.00150">'s051'!$U$18</definedName>
    <definedName name="s051.00151">'s051'!$U$19</definedName>
    <definedName name="s051.00152">'s051'!$U$20</definedName>
    <definedName name="s051.00153">'s051'!$U$21</definedName>
    <definedName name="s051.00154">'s051'!$U$22</definedName>
    <definedName name="s051.00156">'s051'!$U$23</definedName>
    <definedName name="s051.00157">'s051'!$U$24</definedName>
    <definedName name="s051.00158">'s051'!$U$25</definedName>
    <definedName name="s051.00159">'s051'!$U$26</definedName>
    <definedName name="s051.00160">'s051'!$U$27</definedName>
    <definedName name="s051.00161">'s051'!$U$28</definedName>
    <definedName name="s051.00162">'s051'!$U$29</definedName>
    <definedName name="s051.00163">'s051'!$U$30</definedName>
    <definedName name="s051.00164">'s051'!$U$31</definedName>
    <definedName name="s051.00165">'s051'!$U$32</definedName>
    <definedName name="s051.00166">'s051'!$U$33</definedName>
    <definedName name="s051.00167">'s051'!$U$34</definedName>
    <definedName name="s051.00168">'s051'!$U$35</definedName>
    <definedName name="s051.00169">'s051'!$U$36</definedName>
    <definedName name="s051.00170">'s051'!$U$37</definedName>
    <definedName name="s051.00200">'s051'!$M$55</definedName>
    <definedName name="s051.00201">'s051'!$M$56</definedName>
    <definedName name="s051.00202">'s051'!$M$57</definedName>
    <definedName name="s051.00203">'s051'!$M$58</definedName>
    <definedName name="s051.00204">'s051'!$M$59</definedName>
    <definedName name="s051.00205">'s051'!$M$60</definedName>
    <definedName name="s051.00210">'s051'!$Q$55</definedName>
    <definedName name="s051.00211">'s051'!$Q$56</definedName>
    <definedName name="s051.00212">'s051'!$Q$57</definedName>
    <definedName name="s051.00213">'s051'!$Q$58</definedName>
    <definedName name="s051.00214">'s051'!$Q$59</definedName>
    <definedName name="s051.00215">'s051'!$Q$60</definedName>
    <definedName name="s051.00630">'s051'!$M$147</definedName>
    <definedName name="s051.00632">'s051'!$S$147</definedName>
    <definedName name="s051.00634">'s051'!$Y$147</definedName>
    <definedName name="s051.00700">'s051'!$E$71</definedName>
    <definedName name="s051.00701">'s051'!$E$72</definedName>
    <definedName name="s051.00702">'s051'!$E$73</definedName>
    <definedName name="s051.00703">'s051'!$E$74</definedName>
    <definedName name="s051.00704">'s051'!$E$75</definedName>
    <definedName name="s051.00705">'s051'!$E$76</definedName>
    <definedName name="s051.00706">'s051'!$E$77</definedName>
    <definedName name="s051.00707">'s051'!$E$78</definedName>
    <definedName name="s051.00708">'s051'!$E$79</definedName>
    <definedName name="s051.00709">'s051'!$E$80</definedName>
    <definedName name="s051.00710">'s051'!$I$71</definedName>
    <definedName name="s051.00711">'s051'!$I$72</definedName>
    <definedName name="s051.00712">'s051'!$I$73</definedName>
    <definedName name="s051.00713">'s051'!$I$74</definedName>
    <definedName name="s051.00714">'s051'!$I$75</definedName>
    <definedName name="s051.00715">'s051'!$I$76</definedName>
    <definedName name="s051.00716">'s051'!$I$77</definedName>
    <definedName name="s051.00717">'s051'!$I$78</definedName>
    <definedName name="s051.00718">'s051'!$I$79</definedName>
    <definedName name="s051.00719">'s051'!$I$80</definedName>
    <definedName name="s051.00720">'s051'!$M$71</definedName>
    <definedName name="s051.00721">'s051'!$M$72</definedName>
    <definedName name="s051.00722">'s051'!$M$73</definedName>
    <definedName name="s051.00723">'s051'!$M$74</definedName>
    <definedName name="s051.00724">'s051'!$M$75</definedName>
    <definedName name="s051.00725">'s051'!$M$76</definedName>
    <definedName name="s051.00726">'s051'!$M$77</definedName>
    <definedName name="s051.00727">'s051'!$M$78</definedName>
    <definedName name="s051.00728">'s051'!$M$79</definedName>
    <definedName name="s051.00729">'s051'!$M$80</definedName>
    <definedName name="s051.00730">'s051'!$O$71</definedName>
    <definedName name="s051.00731">'s051'!$O$72</definedName>
    <definedName name="s051.00732">'s051'!$O$73</definedName>
    <definedName name="s051.00733">'s051'!$O$74</definedName>
    <definedName name="s051.00734">'s051'!$O$75</definedName>
    <definedName name="s051.00735">'s051'!$O$76</definedName>
    <definedName name="s051.00736">'s051'!$O$77</definedName>
    <definedName name="s051.00737">'s051'!$O$78</definedName>
    <definedName name="s051.00738">'s051'!$O$79</definedName>
    <definedName name="s051.00739">'s051'!$O$80</definedName>
    <definedName name="s051.00740">'s051'!$S$71</definedName>
    <definedName name="s051.00741">'s051'!$S$72</definedName>
    <definedName name="s051.00742">'s051'!$S$73</definedName>
    <definedName name="s051.00743">'s051'!$S$74</definedName>
    <definedName name="s051.00744">'s051'!$S$75</definedName>
    <definedName name="s051.00745">'s051'!$S$76</definedName>
    <definedName name="s051.00746">'s051'!$S$77</definedName>
    <definedName name="s051.00747">'s051'!$S$78</definedName>
    <definedName name="s051.00748">'s051'!$S$79</definedName>
    <definedName name="s051.00749">'s051'!$S$80</definedName>
    <definedName name="s051.00750">'s051'!$W$71</definedName>
    <definedName name="s051.00751">'s051'!$W$72</definedName>
    <definedName name="s051.00752">'s051'!$W$73</definedName>
    <definedName name="s051.00753">'s051'!$W$74</definedName>
    <definedName name="s051.00754">'s051'!$W$75</definedName>
    <definedName name="s051.00755">'s051'!$W$76</definedName>
    <definedName name="s051.00756">'s051'!$W$77</definedName>
    <definedName name="s051.00757">'s051'!$W$78</definedName>
    <definedName name="s051.00758">'s051'!$W$79</definedName>
    <definedName name="s051.00759">'s051'!$W$80</definedName>
    <definedName name="s051.00770">'s051'!$E$85</definedName>
    <definedName name="s051.00771">'s051'!$E$86</definedName>
    <definedName name="s051.00772">'s051'!$E$87</definedName>
    <definedName name="s051.00773">'s051'!$E$88</definedName>
    <definedName name="s051.00774">'s051'!$E$89</definedName>
    <definedName name="s051.00775">'s051'!$E$90</definedName>
    <definedName name="s051.00776">'s051'!$E$91</definedName>
    <definedName name="s051.00777">'s051'!$E$92</definedName>
    <definedName name="s051.00778">'s051'!$E$93</definedName>
    <definedName name="s051.00779">'s051'!$E$94</definedName>
    <definedName name="s051.00780">'s051'!$I$85</definedName>
    <definedName name="s051.00781">'s051'!$I$86</definedName>
    <definedName name="s051.00782">'s051'!$I$87</definedName>
    <definedName name="s051.00783">'s051'!$I$88</definedName>
    <definedName name="s051.00784">'s051'!$I$89</definedName>
    <definedName name="s051.00785">'s051'!$I$90</definedName>
    <definedName name="s051.00786">'s051'!$I$91</definedName>
    <definedName name="s051.00787">'s051'!$I$92</definedName>
    <definedName name="s051.00788">'s051'!$I$93</definedName>
    <definedName name="s051.00789">'s051'!$I$94</definedName>
    <definedName name="s051.00790">'s051'!$M$85</definedName>
    <definedName name="s051.00791">'s051'!$M$86</definedName>
    <definedName name="s051.00792">'s051'!$M$87</definedName>
    <definedName name="s051.00793">'s051'!$M$88</definedName>
    <definedName name="s051.00794">'s051'!$M$89</definedName>
    <definedName name="s051.00795">'s051'!$M$90</definedName>
    <definedName name="s051.00796">'s051'!$M$91</definedName>
    <definedName name="s051.00797">'s051'!$M$92</definedName>
    <definedName name="s051.00798">'s051'!$M$93</definedName>
    <definedName name="s051.00799">'s051'!$M$94</definedName>
    <definedName name="s051.00800">'s051'!$O$85</definedName>
    <definedName name="s051.00801">'s051'!$O$86</definedName>
    <definedName name="s051.00802">'s051'!$O$87</definedName>
    <definedName name="s051.00803">'s051'!$O$88</definedName>
    <definedName name="s051.00804">'s051'!$O$89</definedName>
    <definedName name="s051.00805">'s051'!$O$90</definedName>
    <definedName name="s051.00806">'s051'!$O$91</definedName>
    <definedName name="s051.00807">'s051'!$O$92</definedName>
    <definedName name="s051.00808">'s051'!$O$93</definedName>
    <definedName name="s051.00809">'s051'!$O$94</definedName>
    <definedName name="s051.00810">'s051'!$Q$85</definedName>
    <definedName name="s051.00811">'s051'!$Q$86</definedName>
    <definedName name="s051.00812">'s051'!$Q$87</definedName>
    <definedName name="s051.00813">'s051'!$Q$88</definedName>
    <definedName name="s051.00814">'s051'!$Q$89</definedName>
    <definedName name="s051.00815">'s051'!$Q$90</definedName>
    <definedName name="s051.00816">'s051'!$Q$91</definedName>
    <definedName name="s051.00817">'s051'!$Q$92</definedName>
    <definedName name="s051.00818">'s051'!$Q$93</definedName>
    <definedName name="s051.00819">'s051'!$Q$94</definedName>
    <definedName name="s051.00820">'s051'!$S$85</definedName>
    <definedName name="s051.00821">'s051'!$S$86</definedName>
    <definedName name="s051.00822">'s051'!$S$87</definedName>
    <definedName name="s051.00823">'s051'!$S$88</definedName>
    <definedName name="s051.00824">'s051'!$S$89</definedName>
    <definedName name="s051.00825">'s051'!$S$90</definedName>
    <definedName name="s051.00826">'s051'!$S$91</definedName>
    <definedName name="s051.00827">'s051'!$S$92</definedName>
    <definedName name="s051.00828">'s051'!$S$93</definedName>
    <definedName name="s051.00829">'s051'!$S$94</definedName>
    <definedName name="s051.00830">'s051'!$W$85</definedName>
    <definedName name="s051.00831">'s051'!$W$86</definedName>
    <definedName name="s051.00832">'s051'!$W$87</definedName>
    <definedName name="s051.00833">'s051'!$W$88</definedName>
    <definedName name="s051.00834">'s051'!$W$89</definedName>
    <definedName name="s051.00835">'s051'!$W$90</definedName>
    <definedName name="s051.00836">'s051'!$W$91</definedName>
    <definedName name="s051.00837">'s051'!$W$92</definedName>
    <definedName name="s051.00838">'s051'!$W$93</definedName>
    <definedName name="s051.00839">'s051'!$W$94</definedName>
    <definedName name="s051.00840">'s051'!$AA$85</definedName>
    <definedName name="s051.00841">'s051'!$AA$86</definedName>
    <definedName name="s051.00842">'s051'!$AA$87</definedName>
    <definedName name="s051.00843">'s051'!$AA$88</definedName>
    <definedName name="s051.00844">'s051'!$AA$89</definedName>
    <definedName name="s051.00845">'s051'!$AA$90</definedName>
    <definedName name="s051.00846">'s051'!$AA$91</definedName>
    <definedName name="s051.00847">'s051'!$AA$92</definedName>
    <definedName name="s051.00848">'s051'!$AA$93</definedName>
    <definedName name="s051.00849">'s051'!$AA$94</definedName>
    <definedName name="s051.00850">'s051'!$C$104</definedName>
    <definedName name="s051.00851">'s051'!$C$105</definedName>
    <definedName name="s051.00852">'s051'!$C$106</definedName>
    <definedName name="s051.00853">'s051'!$C$107</definedName>
    <definedName name="s051.00854">'s051'!$C$108</definedName>
    <definedName name="s051.00855">'s051'!$C$109</definedName>
    <definedName name="s051.00856">'s051'!$C$110</definedName>
    <definedName name="s051.00857">'s051'!$C$111</definedName>
    <definedName name="s051.00858">'s051'!$C$112</definedName>
    <definedName name="s051.00859">'s051'!$C$113</definedName>
    <definedName name="s051.00860">'s051'!$C$114</definedName>
    <definedName name="s051.00861">'s051'!$C$115</definedName>
    <definedName name="s051.00862">'s051'!$C$116</definedName>
    <definedName name="s051.00863">'s051'!$C$117</definedName>
    <definedName name="s051.00864">'s051'!$C$118</definedName>
    <definedName name="s051.00865">'s051'!$C$119</definedName>
    <definedName name="s051.00866">'s051'!$C$120</definedName>
    <definedName name="s051.00867">'s051'!$C$121</definedName>
    <definedName name="s051.00868">'s051'!$E$104</definedName>
    <definedName name="s051.00869">'s051'!$E$105</definedName>
    <definedName name="s051.00870">'s051'!$E$106</definedName>
    <definedName name="s051.00871">'s051'!$E$107</definedName>
    <definedName name="s051.00872">'s051'!$E$108</definedName>
    <definedName name="s051.00873">'s051'!$E$109</definedName>
    <definedName name="s051.00874">'s051'!$E$110</definedName>
    <definedName name="s051.00875">'s051'!$E$111</definedName>
    <definedName name="s051.00876">'s051'!$E$112</definedName>
    <definedName name="s051.00877">'s051'!$E$113</definedName>
    <definedName name="s051.00878">'s051'!$E$114</definedName>
    <definedName name="s051.00879">'s051'!$E$115</definedName>
    <definedName name="s051.00880">'s051'!$E$116</definedName>
    <definedName name="s051.00881">'s051'!$E$117</definedName>
    <definedName name="s051.00882">'s051'!$E$118</definedName>
    <definedName name="s051.00883">'s051'!$E$119</definedName>
    <definedName name="s051.00884">'s051'!$E$120</definedName>
    <definedName name="s051.00885">'s051'!$E$121</definedName>
    <definedName name="s051.00886">'s051'!$G$104</definedName>
    <definedName name="s051.00887">'s051'!$G$105</definedName>
    <definedName name="s051.00888">'s051'!$G$106</definedName>
    <definedName name="s051.00889">'s051'!$G$107</definedName>
    <definedName name="s051.00890">'s051'!$G$108</definedName>
    <definedName name="s051.00891">'s051'!$G$109</definedName>
    <definedName name="s051.00892">'s051'!$G$110</definedName>
    <definedName name="s051.00893">'s051'!$G$111</definedName>
    <definedName name="s051.00894">'s051'!$G$112</definedName>
    <definedName name="s051.00895">'s051'!$G$113</definedName>
    <definedName name="s051.00896">'s051'!$G$114</definedName>
    <definedName name="s051.00897">'s051'!$G$115</definedName>
    <definedName name="s051.00898">'s051'!$G$116</definedName>
    <definedName name="s051.00899">'s051'!$G$117</definedName>
    <definedName name="s051.00900">'s051'!$G$118</definedName>
    <definedName name="s051.00901">'s051'!$G$119</definedName>
    <definedName name="s051.00902">'s051'!$G$120</definedName>
    <definedName name="s051.00903">'s051'!$G$121</definedName>
    <definedName name="s051.00904">'s051'!$I$104</definedName>
    <definedName name="s051.00905">'s051'!$I$105</definedName>
    <definedName name="s051.00906">'s051'!$I$106</definedName>
    <definedName name="s051.00907">'s051'!$I$107</definedName>
    <definedName name="s051.00908">'s051'!$I$108</definedName>
    <definedName name="s051.00909">'s051'!$I$109</definedName>
    <definedName name="s051.00910">'s051'!$I$110</definedName>
    <definedName name="s051.00911">'s051'!$I$111</definedName>
    <definedName name="s051.00912">'s051'!$I$112</definedName>
    <definedName name="s051.00913">'s051'!$I$113</definedName>
    <definedName name="s051.00914">'s051'!$I$114</definedName>
    <definedName name="s051.00915">'s051'!$I$115</definedName>
    <definedName name="s051.00916">'s051'!$I$116</definedName>
    <definedName name="s051.00917">'s051'!$I$117</definedName>
    <definedName name="s051.00918">'s051'!$I$118</definedName>
    <definedName name="s051.00919">'s051'!$I$119</definedName>
    <definedName name="s051.00920">'s051'!$I$120</definedName>
    <definedName name="s051.00921">'s051'!$I$121</definedName>
    <definedName name="s051.00922">'s051'!$M$104</definedName>
    <definedName name="s051.00923">'s051'!$M$105</definedName>
    <definedName name="s051.00924">'s051'!$M$106</definedName>
    <definedName name="s051.00925">'s051'!$M$107</definedName>
    <definedName name="s051.00926">'s051'!$M$108</definedName>
    <definedName name="s051.00927">'s051'!$M$109</definedName>
    <definedName name="s051.00928">'s051'!$M$110</definedName>
    <definedName name="s051.00929">'s051'!$M$111</definedName>
    <definedName name="s051.00930">'s051'!$M$112</definedName>
    <definedName name="s051.00931">'s051'!$M$113</definedName>
    <definedName name="s051.00932">'s051'!$M$114</definedName>
    <definedName name="s051.00933">'s051'!$M$115</definedName>
    <definedName name="s051.00934">'s051'!$M$116</definedName>
    <definedName name="s051.00935">'s051'!$M$117</definedName>
    <definedName name="s051.00936">'s051'!$M$118</definedName>
    <definedName name="s051.00937">'s051'!$M$119</definedName>
    <definedName name="s051.00938">'s051'!$M$120</definedName>
    <definedName name="s051.00939">'s051'!$M$121</definedName>
    <definedName name="s051.00940">'s051'!$O$104</definedName>
    <definedName name="s051.00941">'s051'!$O$105</definedName>
    <definedName name="s051.00942">'s051'!$O$106</definedName>
    <definedName name="s051.00943">'s051'!$O$107</definedName>
    <definedName name="s051.00944">'s051'!$O$108</definedName>
    <definedName name="s051.00945">'s051'!$O$109</definedName>
    <definedName name="s051.00946">'s051'!$O$110</definedName>
    <definedName name="s051.00947">'s051'!$O$111</definedName>
    <definedName name="s051.00948">'s051'!$O$112</definedName>
    <definedName name="s051.00949">'s051'!$O$113</definedName>
    <definedName name="s051.00950">'s051'!$O$114</definedName>
    <definedName name="s051.00951">'s051'!$O$115</definedName>
    <definedName name="s051.00952">'s051'!$O$116</definedName>
    <definedName name="s051.00953">'s051'!$O$117</definedName>
    <definedName name="s051.00954">'s051'!$O$118</definedName>
    <definedName name="s051.00955">'s051'!$O$119</definedName>
    <definedName name="s051.00956">'s051'!$O$120</definedName>
    <definedName name="s051.00957">'s051'!$O$121</definedName>
    <definedName name="s051.00958">'s051'!$Q$104</definedName>
    <definedName name="s051.00959">'s051'!$Q$105</definedName>
    <definedName name="s051.00960">'s051'!$Q$106</definedName>
    <definedName name="s051.00961">'s051'!$Q$107</definedName>
    <definedName name="s051.00962">'s051'!$Q$108</definedName>
    <definedName name="s051.00963">'s051'!$Q$109</definedName>
    <definedName name="s051.00964">'s051'!$Q$110</definedName>
    <definedName name="s051.00965">'s051'!$Q$111</definedName>
    <definedName name="s051.00966">'s051'!$Q$112</definedName>
    <definedName name="s051.00967">'s051'!$Q$113</definedName>
    <definedName name="s051.00968">'s051'!$Q$114</definedName>
    <definedName name="s051.00969">'s051'!$Q$115</definedName>
    <definedName name="s051.00970">'s051'!$Q$116</definedName>
    <definedName name="s051.00971">'s051'!$Q$117</definedName>
    <definedName name="s051.00972">'s051'!$Q$118</definedName>
    <definedName name="s051.00973">'s051'!$Q$119</definedName>
    <definedName name="s051.00974">'s051'!$Q$120</definedName>
    <definedName name="s051.00975">'s051'!$Q$121</definedName>
    <definedName name="s051.00976">'s051'!$S$104</definedName>
    <definedName name="s051.00977">'s051'!$S$105</definedName>
    <definedName name="s051.00978">'s051'!$S$106</definedName>
    <definedName name="s051.00979">'s051'!$S$107</definedName>
    <definedName name="s051.00980">'s051'!$S$108</definedName>
    <definedName name="s051.00981">'s051'!$S$109</definedName>
    <definedName name="s051.00982">'s051'!$S$110</definedName>
    <definedName name="s051.00983">'s051'!$S$111</definedName>
    <definedName name="s051.00984">'s051'!$S$112</definedName>
    <definedName name="s051.00985">'s051'!$S$113</definedName>
    <definedName name="s051.00986">'s051'!$S$114</definedName>
    <definedName name="s051.00987">'s051'!$S$115</definedName>
    <definedName name="s051.00988">'s051'!$S$116</definedName>
    <definedName name="s051.00989">'s051'!$S$117</definedName>
    <definedName name="s051.00990">'s051'!$S$118</definedName>
    <definedName name="s051.00991">'s051'!$S$119</definedName>
    <definedName name="s051.00992">'s051'!$S$120</definedName>
    <definedName name="s051.00993">'s051'!$S$121</definedName>
    <definedName name="s051.00994">'s051'!$U$104</definedName>
    <definedName name="s051.00995">'s051'!$U$105</definedName>
    <definedName name="s051.00996">'s051'!$U$106</definedName>
    <definedName name="s051.00997">'s051'!$U$107</definedName>
    <definedName name="s051.00998">'s051'!$U$108</definedName>
    <definedName name="s051.00999">'s051'!$U$109</definedName>
    <definedName name="s051.01000">'s051'!$U$110</definedName>
    <definedName name="s051.01001">'s051'!$U$111</definedName>
    <definedName name="s051.01002">'s051'!$U$112</definedName>
    <definedName name="s051.01003">'s051'!$U$113</definedName>
    <definedName name="s051.01004">'s051'!$U$114</definedName>
    <definedName name="s051.01005">'s051'!$U$115</definedName>
    <definedName name="s051.01006">'s051'!$U$116</definedName>
    <definedName name="s051.01007">'s051'!$U$117</definedName>
    <definedName name="s051.01008">'s051'!$U$118</definedName>
    <definedName name="s051.01009">'s051'!$U$119</definedName>
    <definedName name="s051.01010">'s051'!$U$120</definedName>
    <definedName name="s051.01011">'s051'!$U$121</definedName>
    <definedName name="s051.01012">'s051'!$W$104</definedName>
    <definedName name="s051.01013">'s051'!$W$105</definedName>
    <definedName name="s051.01014">'s051'!$W$106</definedName>
    <definedName name="s051.01015">'s051'!$W$107</definedName>
    <definedName name="s051.01016">'s051'!$W$108</definedName>
    <definedName name="s051.01017">'s051'!$W$109</definedName>
    <definedName name="s051.01018">'s051'!$W$110</definedName>
    <definedName name="s051.01019">'s051'!$W$111</definedName>
    <definedName name="s051.01020">'s051'!$W$112</definedName>
    <definedName name="s051.01021">'s051'!$W$113</definedName>
    <definedName name="s051.01022">'s051'!$W$114</definedName>
    <definedName name="s051.01023">'s051'!$W$115</definedName>
    <definedName name="s051.01024">'s051'!$W$116</definedName>
    <definedName name="s051.01025">'s051'!$W$117</definedName>
    <definedName name="s051.01026">'s051'!$W$118</definedName>
    <definedName name="s051.01027">'s051'!$W$119</definedName>
    <definedName name="s051.01028">'s051'!$W$120</definedName>
    <definedName name="s051.01029">'s051'!$W$121</definedName>
    <definedName name="s051.01030">'s051'!$Y$104</definedName>
    <definedName name="s051.01031">'s051'!$Y$105</definedName>
    <definedName name="s051.01032">'s051'!$Y$106</definedName>
    <definedName name="s051.01033">'s051'!$Y$107</definedName>
    <definedName name="s051.01034">'s051'!$Y$108</definedName>
    <definedName name="s051.01035">'s051'!$Y$109</definedName>
    <definedName name="s051.01036">'s051'!$Y$110</definedName>
    <definedName name="s051.01037">'s051'!$Y$111</definedName>
    <definedName name="s051.01038">'s051'!$Y$112</definedName>
    <definedName name="s051.01039">'s051'!$Y$113</definedName>
    <definedName name="s051.01040">'s051'!$Y$114</definedName>
    <definedName name="s051.01041">'s051'!$Y$115</definedName>
    <definedName name="s051.01042">'s051'!$Y$116</definedName>
    <definedName name="s051.01043">'s051'!$Y$117</definedName>
    <definedName name="s051.01044">'s051'!$Y$118</definedName>
    <definedName name="s051.01045">'s051'!$Y$119</definedName>
    <definedName name="s051.01046">'s051'!$Y$120</definedName>
    <definedName name="s051.01047">'s051'!$Y$121</definedName>
    <definedName name="s051.01048">'s051'!$AA$104</definedName>
    <definedName name="s051.01049">'s051'!$AA$105</definedName>
    <definedName name="s051.01050">'s051'!$AA$106</definedName>
    <definedName name="s051.01051">'s051'!$AA$107</definedName>
    <definedName name="s051.01052">'s051'!$AA$108</definedName>
    <definedName name="s051.01053">'s051'!$AA$109</definedName>
    <definedName name="s051.01054">'s051'!$AA$110</definedName>
    <definedName name="s051.01055">'s051'!$AA$111</definedName>
    <definedName name="s051.01056">'s051'!$AA$112</definedName>
    <definedName name="s051.01057">'s051'!$AA$113</definedName>
    <definedName name="s051.01058">'s051'!$AA$114</definedName>
    <definedName name="s051.01059">'s051'!$AA$115</definedName>
    <definedName name="s051.01060">'s051'!$AA$116</definedName>
    <definedName name="s051.01061">'s051'!$AA$117</definedName>
    <definedName name="s051.01062">'s051'!$AA$118</definedName>
    <definedName name="s051.01063">'s051'!$AA$119</definedName>
    <definedName name="s051.01064">'s051'!$AA$120</definedName>
    <definedName name="s051.01065">'s051'!$AA$121</definedName>
    <definedName name="s051.01300">'s051'!$M$134</definedName>
    <definedName name="s051.01301">'s051'!$M$135</definedName>
    <definedName name="s051.01302">'s051'!$M$136</definedName>
    <definedName name="s051.01303">'s051'!$M$137</definedName>
    <definedName name="s051.01304">'s051'!$M$138</definedName>
    <definedName name="s051.01305">'s051'!$M$139</definedName>
    <definedName name="s051.01306">'s051'!$M$140</definedName>
    <definedName name="s051.01307">'s051'!$M$141</definedName>
    <definedName name="s051.01310">'s051'!$O$134</definedName>
    <definedName name="s051.01311">'s051'!$O$135</definedName>
    <definedName name="s051.01312">'s051'!$O$136</definedName>
    <definedName name="s051.01313">'s051'!$O$137</definedName>
    <definedName name="s051.01314">'s051'!$O$138</definedName>
    <definedName name="s051.01315">'s051'!$O$139</definedName>
    <definedName name="s051.01316">'s051'!$O$140</definedName>
    <definedName name="s051.01320">'s051'!$S$134</definedName>
    <definedName name="s051.01321">'s051'!$S$135</definedName>
    <definedName name="s051.01322">'s051'!$S$136</definedName>
    <definedName name="s051.01323">'s051'!$S$137</definedName>
    <definedName name="s051.01324">'s051'!$S$138</definedName>
    <definedName name="s051.01325">'s051'!$S$139</definedName>
    <definedName name="s051.01326">'s051'!$S$140</definedName>
    <definedName name="s051.01327">'s051'!$S$141</definedName>
    <definedName name="s051.01330">'s051'!$U$134</definedName>
    <definedName name="s051.01331">'s051'!$U$135</definedName>
    <definedName name="s051.01332">'s051'!$U$136</definedName>
    <definedName name="s051.01333">'s051'!$U$137</definedName>
    <definedName name="s051.01334">'s051'!$U$138</definedName>
    <definedName name="s051.01335">'s051'!$U$139</definedName>
    <definedName name="s051.01336">'s051'!$U$140</definedName>
    <definedName name="s051.01340">'s051'!$Y$134</definedName>
    <definedName name="s051.01341">'s051'!$Y$135</definedName>
    <definedName name="s051.01342">'s051'!$Y$136</definedName>
    <definedName name="s051.01343">'s051'!$Y$137</definedName>
    <definedName name="s051.01344">'s051'!$Y$138</definedName>
    <definedName name="s051.01345">'s051'!$Y$139</definedName>
    <definedName name="s051.01346">'s051'!$Y$140</definedName>
    <definedName name="s051.01347">'s051'!$Y$141</definedName>
    <definedName name="s051.01350">'s051'!$AA$134</definedName>
    <definedName name="s051.01351">'s051'!$AA$135</definedName>
    <definedName name="s051.01352">'s051'!$AA$136</definedName>
    <definedName name="s051.01353">'s051'!$AA$137</definedName>
    <definedName name="s051.01354">'s051'!$AA$138</definedName>
    <definedName name="s051.01355">'s051'!$AA$139</definedName>
    <definedName name="s051.01356">'s051'!$AA$140</definedName>
    <definedName name="s051.09999">'s051'!$A$41:$AA$47</definedName>
    <definedName name="s052.00000">'s052'!$D$9</definedName>
    <definedName name="s052.00001">'s052'!$C$18:$D$23</definedName>
    <definedName name="s052.00002">'s052'!$E$18:$F$23</definedName>
    <definedName name="s052.00003">'s052'!$G$18:$H$23</definedName>
    <definedName name="s052.00004">'s052'!$I$18:$J$23</definedName>
    <definedName name="s052.00005">'s052'!$K$18:$L$23</definedName>
    <definedName name="s052.00006">'s052'!$M$18:$N$23</definedName>
    <definedName name="s052.00007">'s052'!$O$18:$P$23</definedName>
    <definedName name="s052.00008">'s052'!$Q$18:$R$23</definedName>
    <definedName name="s052.00009">'s052'!$S$18:$T$23</definedName>
    <definedName name="s052.00070">'s052'!$U$18:$V$23</definedName>
    <definedName name="s052.00080">'s052'!$W$18:$X$23</definedName>
    <definedName name="s052.00090">'s052'!$Y$18:$Z$23</definedName>
    <definedName name="s052.00100">'s052'!$A$18:$A$23</definedName>
    <definedName name="s052.00101">'s052'!$B$18:$B$23</definedName>
    <definedName name="s052.03300">'s052'!$A$68:$A$73</definedName>
    <definedName name="s052.03301">'s052'!$B$68:$H$73</definedName>
    <definedName name="s052.03310">'s052'!$I$68:$L$68</definedName>
    <definedName name="s052.03330">'s052'!$M$68:$P$73</definedName>
    <definedName name="s052.03350">'s052'!$Q$68:$R$73</definedName>
    <definedName name="s052.03360">'s052'!$S$68:$T$73</definedName>
    <definedName name="s052.03370">'s052'!$U$68:$V$73</definedName>
    <definedName name="s052.07270">'s052'!$A$52:$A$57</definedName>
    <definedName name="s052.07280">'s052'!$B$52:$H$57</definedName>
    <definedName name="s052.07290">'s052'!$I$52:$J$57</definedName>
    <definedName name="s052.07300">'s052'!$K$52:$L$57</definedName>
    <definedName name="s052.07305">'s052'!$L$58</definedName>
    <definedName name="s052.07310">'s052'!$M$52:$N$57</definedName>
    <definedName name="s052.07315">'s052'!$N$58</definedName>
    <definedName name="s052.07320">'s052'!$O$52:$P$57</definedName>
    <definedName name="s052.07325">'s052'!$P$58</definedName>
    <definedName name="s052.07330">'s052'!$Q$52:$R$57</definedName>
    <definedName name="s052.07335">'s052'!$R$58</definedName>
    <definedName name="s052.07340">'s052'!$S$52:$T$57</definedName>
    <definedName name="s052.07345">'s052'!$T$58</definedName>
    <definedName name="s052.07350">'s052'!$U$52:$V$57</definedName>
    <definedName name="s052.07355">'s052'!$V$58</definedName>
    <definedName name="s052.07360">'s052'!$W$52:$X$57</definedName>
    <definedName name="s052.07365">'s052'!$X$58</definedName>
    <definedName name="s052.07370">'s052'!$Y$52:$Z$57</definedName>
    <definedName name="s052.07375">'s052'!$Z$58</definedName>
    <definedName name="s052.08005">'s052'!$D$24</definedName>
    <definedName name="s052.08025">'s052'!$H$24</definedName>
    <definedName name="s052.08045">'s052'!$L$24</definedName>
    <definedName name="s052.08065">'s052'!$P$24</definedName>
    <definedName name="s052.08085">'s052'!$T$24</definedName>
    <definedName name="s052.08105">'s052'!$X$24</definedName>
    <definedName name="s052.09085">'s052'!$T$38</definedName>
    <definedName name="s052.09095">'s052'!$V$38</definedName>
    <definedName name="s052.09105">'s052'!$X$38</definedName>
    <definedName name="s052.09115">'s052'!$Z$38</definedName>
    <definedName name="s052.09228">'s052'!$R$38</definedName>
    <definedName name="s052.09930">'s052'!$A$32:$A$37</definedName>
    <definedName name="s052.09940">'s052'!$B$32:$D$37</definedName>
    <definedName name="s052.09950">'s052'!$E$32:$F$37</definedName>
    <definedName name="s052.09960">'s052'!$G$32:$H$37</definedName>
    <definedName name="s052.09970">'s052'!$I$32:$J$37</definedName>
    <definedName name="s052.09980">'s052'!$K$32:$L$37</definedName>
    <definedName name="s052.09990">'s052'!$M$32:$N$37</definedName>
    <definedName name="s052.09991">'s052'!$O$32:$P$37</definedName>
    <definedName name="s052.09993">'s052'!$Q$32:$R$37</definedName>
    <definedName name="s052.09994">'s052'!$S$32:$T$37</definedName>
    <definedName name="s052.09995">'s052'!$U$32:$V$37</definedName>
    <definedName name="s052.09997">'s052'!$W$32:$X$37</definedName>
    <definedName name="s052.09998">'s052'!$Y$32:$Z$37</definedName>
    <definedName name="s053.00010">'s053'!$C$11</definedName>
    <definedName name="s053.00020">'s053'!$C$12</definedName>
    <definedName name="s053.00040">'s053'!$C$13</definedName>
    <definedName name="s053.00050">'s053'!$C$14</definedName>
    <definedName name="s053.00070">'s053'!$C$15</definedName>
    <definedName name="s053.00080">'s053'!$C$16</definedName>
    <definedName name="s053.00090">'s053'!$C$17</definedName>
    <definedName name="s053.00110">'s053'!$C$18</definedName>
    <definedName name="s053.00120">'s053'!$C$19</definedName>
    <definedName name="s053.00150">'s053'!$C$20</definedName>
    <definedName name="s053.00160">'s053'!$C$21</definedName>
    <definedName name="s053.00170">'s053'!$C$22</definedName>
    <definedName name="s053.00180">'s053'!$C$23</definedName>
    <definedName name="s053.00200">'s053'!$D$32</definedName>
    <definedName name="s053.00210">'s053'!$D$33</definedName>
    <definedName name="s053.00220">'s053'!$D$34</definedName>
    <definedName name="s053.00230">'s053'!$D$35</definedName>
    <definedName name="s053.00240">'s053'!$D$36</definedName>
    <definedName name="s053.00250">'s053'!$D$37</definedName>
    <definedName name="s053.00260">'s053'!$D$38</definedName>
    <definedName name="s053.01010">'s053'!$E$11</definedName>
    <definedName name="s053.01020">'s053'!$E$12</definedName>
    <definedName name="s053.01040">'s053'!$E$13</definedName>
    <definedName name="s053.01050">'s053'!$E$14</definedName>
    <definedName name="s053.01070">'s053'!$E$15</definedName>
    <definedName name="s053.01080">'s053'!$E$16</definedName>
    <definedName name="s053.01090">'s053'!$E$17</definedName>
    <definedName name="s053.01110">'s053'!$E$18</definedName>
    <definedName name="s053.01120">'s053'!$E$19</definedName>
    <definedName name="s053.01150">'s053'!$E$20</definedName>
    <definedName name="s053.01160">'s053'!$E$21</definedName>
    <definedName name="s053.01170">'s053'!$E$22</definedName>
    <definedName name="s053.01180">'s053'!$E$23</definedName>
    <definedName name="s053.01210">'s053'!$F$32</definedName>
    <definedName name="s053.01220">'s053'!$F$33</definedName>
    <definedName name="s053.01230">'s053'!$F$34</definedName>
    <definedName name="s053.01240">'s053'!$F$35</definedName>
    <definedName name="s053.01250">'s053'!$F$36</definedName>
    <definedName name="s053.01260">'s053'!$F$37</definedName>
    <definedName name="s053.01270">'s053'!$F$38</definedName>
    <definedName name="s054.00010">'s054'!$C$16</definedName>
    <definedName name="s054.00030">'s054'!$E$16</definedName>
    <definedName name="s054.00050">'s054'!$C$20</definedName>
    <definedName name="s054.00060">'s054'!$E$20</definedName>
    <definedName name="s054.00100">'s054'!$G$16</definedName>
    <definedName name="s054.00110">'s054'!$G$17</definedName>
    <definedName name="s054.00120">'s054'!$G$18</definedName>
    <definedName name="s054.00130">'s054'!$G$20</definedName>
    <definedName name="s054.00140">'s054'!$G$21</definedName>
    <definedName name="s054.00150">'s054'!$G$22</definedName>
    <definedName name="s054.00159">'s054'!$B$30</definedName>
    <definedName name="s054.00160">'s054'!$G$30</definedName>
    <definedName name="s054.00169">'s054'!$B$31</definedName>
    <definedName name="s054.00170">'s054'!$G$31</definedName>
    <definedName name="s054.00179">'s054'!$B$32</definedName>
    <definedName name="s054.00180">'s054'!$G$32</definedName>
    <definedName name="s054.00189">'s054'!$B$33</definedName>
    <definedName name="s054.00190">'s054'!$G$33</definedName>
    <definedName name="s054.00200">'s054'!$I$16</definedName>
    <definedName name="s054.00210">'s054'!$I$17</definedName>
    <definedName name="s054.00220">'s054'!$I$18</definedName>
    <definedName name="s054.00230">'s054'!$I$20</definedName>
    <definedName name="s054.00240">'s054'!$I$21</definedName>
    <definedName name="s054.00250">'s054'!$I$22</definedName>
    <definedName name="s054.00260">'s054'!$I$30</definedName>
    <definedName name="s054.00270">'s054'!$I$31</definedName>
    <definedName name="s054.00280">'s054'!$I$32</definedName>
    <definedName name="s054.00290">'s054'!$I$33</definedName>
    <definedName name="s054.00300">'s054'!$K$16</definedName>
    <definedName name="s054.00310">'s054'!$K$17</definedName>
    <definedName name="s054.00320">'s054'!$K$18</definedName>
    <definedName name="s054.00330">'s054'!$K$20</definedName>
    <definedName name="s054.00340">'s054'!$K$21</definedName>
    <definedName name="s054.00350">'s054'!$K$22</definedName>
    <definedName name="s054.00360">'s054'!$K$30</definedName>
    <definedName name="s054.00370">'s054'!$K$31</definedName>
    <definedName name="s054.00380">'s054'!$K$32</definedName>
    <definedName name="s054.00390">'s054'!$K$33</definedName>
    <definedName name="s054.00400">'s054'!$M$16</definedName>
    <definedName name="s054.00410">'s054'!$M$17</definedName>
    <definedName name="s054.00420">'s054'!$M$18</definedName>
    <definedName name="s054.00430">'s054'!$M$20</definedName>
    <definedName name="s054.00440">'s054'!$M$21</definedName>
    <definedName name="s054.00450">'s054'!$M$22</definedName>
    <definedName name="s054.00460">'s054'!$M$30</definedName>
    <definedName name="s054.00470">'s054'!$M$31</definedName>
    <definedName name="s054.00480">'s054'!$M$32</definedName>
    <definedName name="s054.00490">'s054'!$M$33</definedName>
    <definedName name="s054.00498">'s054'!$A$40:$A$40</definedName>
    <definedName name="s054.00499">'s054'!$B$40:$B$40</definedName>
    <definedName name="s054.00500">'s054'!$C$40:$C$40</definedName>
    <definedName name="s054.00504">'s054'!$A$44:$A$44</definedName>
    <definedName name="s054.00505">'s054'!$B$44:$B$44</definedName>
    <definedName name="s054.00506">'s054'!$C$44:$C$44</definedName>
    <definedName name="s054.00511">'s054'!$A$51:$A$51</definedName>
    <definedName name="s054.00512">'s054'!$C$47</definedName>
    <definedName name="s054.00513">'s054'!$C$51:$C$51</definedName>
    <definedName name="s054.00520">'s054'!$E$40:$E$40</definedName>
    <definedName name="s054.00523">'s054'!$E$51:$E$51</definedName>
    <definedName name="s054.00526">'s054'!$E$44:$E$44</definedName>
    <definedName name="s054.00532">'s054'!$E$47</definedName>
    <definedName name="s054.00540">'s054'!$G$40:$G$40</definedName>
    <definedName name="s054.00546">'s054'!$G$44:$G$44</definedName>
    <definedName name="s054.00552">'s054'!$G$47</definedName>
    <definedName name="s054.00553">'s054'!$G$51:$G$51</definedName>
    <definedName name="s054.00560">'s054'!$I$40:$K$40</definedName>
    <definedName name="s054.00566">'s054'!$I$44:$K$44</definedName>
    <definedName name="s054.00572">'s054'!$I$47</definedName>
    <definedName name="s054.00573">'s054'!$I$51:$K$51</definedName>
    <definedName name="s054.01120">'s054'!$O$16</definedName>
    <definedName name="s054.01130">'s054'!$O$17</definedName>
    <definedName name="s054.01140">'s054'!$O$18</definedName>
    <definedName name="s054.01150">'s054'!$O$20</definedName>
    <definedName name="s054.01160">'s054'!$O$21</definedName>
    <definedName name="s054.01200">'s054'!$O$22</definedName>
    <definedName name="s054.01280">'s054'!$Q$18</definedName>
    <definedName name="s054.01290">'s054'!$Q$22</definedName>
    <definedName name="s054.09999">'s054'!$A$63</definedName>
    <definedName name="s054.Aux_54Amortizacion">'s054'!$B$41</definedName>
    <definedName name="s054.Aux_54Diferimiento">'s054'!$B$45</definedName>
    <definedName name="s054.Aux_54Otros">'s054'!$B$53</definedName>
    <definedName name="s054.Aux_Otros">'s054'!$B$53</definedName>
    <definedName name="s055.00400">'s055'!$K$16</definedName>
    <definedName name="s055.00401">'s055'!$K$17</definedName>
    <definedName name="s055.00402">'s055'!$K$18</definedName>
    <definedName name="s055.00403">'s055'!$K$19</definedName>
    <definedName name="s055.00404">'s055'!$K$20</definedName>
    <definedName name="s055.00405">'s055'!$K$21</definedName>
    <definedName name="s055.00406">'s055'!$K$22</definedName>
    <definedName name="s055.00407">'s055'!$K$23</definedName>
    <definedName name="s055.00408">'s055'!$K$24</definedName>
    <definedName name="s055.00409">'s055'!$K$25</definedName>
    <definedName name="s055.00410">'s055'!$K$26</definedName>
    <definedName name="s055.00411">'s055'!$K$27</definedName>
    <definedName name="s055.00412">'s055'!$K$28</definedName>
    <definedName name="s055.00413">'s055'!$K$29</definedName>
    <definedName name="s055.00414">'s055'!$K$30</definedName>
    <definedName name="s055.00415">'s055'!$K$31</definedName>
    <definedName name="s055.00416">'s055'!$K$32</definedName>
    <definedName name="s055.00417">'s055'!$K$33</definedName>
    <definedName name="s055.00418">'s055'!$K$34</definedName>
    <definedName name="s055.00419">'s055'!$K$35</definedName>
    <definedName name="s055.00420">'s055'!$K$36</definedName>
    <definedName name="s055.00422">'s055'!$K$37</definedName>
    <definedName name="s055.00425">'s055'!$K$38</definedName>
    <definedName name="s055.00426">'s055'!$M$16</definedName>
    <definedName name="s055.00427">'s055'!$M$17</definedName>
    <definedName name="s055.00428">'s055'!$M$18</definedName>
    <definedName name="s055.00429">'s055'!$M$19</definedName>
    <definedName name="s055.00430">'s055'!$M$20</definedName>
    <definedName name="s055.00431">'s055'!$M$21</definedName>
    <definedName name="s055.00432">'s055'!$M$22</definedName>
    <definedName name="s055.00433">'s055'!$M$23</definedName>
    <definedName name="s055.00434">'s055'!$M$24</definedName>
    <definedName name="s055.00435">'s055'!$M$25</definedName>
    <definedName name="s055.00436">'s055'!$M$26</definedName>
    <definedName name="s055.00437">'s055'!$M$27</definedName>
    <definedName name="s055.00438">'s055'!$M$28</definedName>
    <definedName name="s055.00439">'s055'!$M$29</definedName>
    <definedName name="s055.00440">'s055'!$M$30</definedName>
    <definedName name="s055.00441">'s055'!$M$31</definedName>
    <definedName name="s055.00442">'s055'!$M$32</definedName>
    <definedName name="s055.00443">'s055'!$M$33</definedName>
    <definedName name="s055.00444">'s055'!$M$34</definedName>
    <definedName name="s055.00445">'s055'!$M$35</definedName>
    <definedName name="s055.00446">'s055'!$M$36</definedName>
    <definedName name="s055.00448">'s055'!$M$37</definedName>
    <definedName name="s055.00450">'s055'!$M$38</definedName>
    <definedName name="s055.00452">'s055'!$Q$16</definedName>
    <definedName name="s055.00453">'s055'!$Q$17</definedName>
    <definedName name="s055.00454">'s055'!$Q$18</definedName>
    <definedName name="s055.00455">'s055'!$Q$19</definedName>
    <definedName name="s055.00456">'s055'!$Q$20</definedName>
    <definedName name="s055.00457">'s055'!$Q$21</definedName>
    <definedName name="s055.00458">'s055'!$Q$22</definedName>
    <definedName name="s055.00459">'s055'!$Q$23</definedName>
    <definedName name="s055.00460">'s055'!$Q$24</definedName>
    <definedName name="s055.00461">'s055'!$Q$25</definedName>
    <definedName name="s055.00462">'s055'!$Q$26</definedName>
    <definedName name="s055.00463">'s055'!$Q$27</definedName>
    <definedName name="s055.00464">'s055'!$Q$28</definedName>
    <definedName name="s055.00465">'s055'!$Q$29</definedName>
    <definedName name="s055.00466">'s055'!$Q$30</definedName>
    <definedName name="s055.00467">'s055'!$Q$31</definedName>
    <definedName name="s055.00468">'s055'!$Q$32</definedName>
    <definedName name="s055.00469">'s055'!$Q$33</definedName>
    <definedName name="s055.00470">'s055'!$Q$34</definedName>
    <definedName name="s055.00471">'s055'!$Q$35</definedName>
    <definedName name="s055.00472">'s055'!$Q$36</definedName>
    <definedName name="s055.00474">'s055'!$Q$37</definedName>
    <definedName name="s055.00475">'s055'!$Q$38</definedName>
    <definedName name="s055.00478">'s055'!$S$16</definedName>
    <definedName name="s055.00479">'s055'!$S$17</definedName>
    <definedName name="s055.00480">'s055'!$S$18</definedName>
    <definedName name="s055.00481">'s055'!$S$19</definedName>
    <definedName name="s055.00482">'s055'!$S$20</definedName>
    <definedName name="s055.00483">'s055'!$S$21</definedName>
    <definedName name="s055.00484">'s055'!$S$22</definedName>
    <definedName name="s055.00485">'s055'!$S$23</definedName>
    <definedName name="s055.00486">'s055'!$S$24</definedName>
    <definedName name="s055.00487">'s055'!$S$25</definedName>
    <definedName name="s055.00488">'s055'!$S$26</definedName>
    <definedName name="s055.00489">'s055'!$S$27</definedName>
    <definedName name="s055.00490">'s055'!$S$28</definedName>
    <definedName name="s055.00491">'s055'!$S$29</definedName>
    <definedName name="s055.00492">'s055'!$S$30</definedName>
    <definedName name="s055.00493">'s055'!$S$31</definedName>
    <definedName name="s055.00494">'s055'!$S$32</definedName>
    <definedName name="s055.00495">'s055'!$S$33</definedName>
    <definedName name="s055.00496">'s055'!$S$34</definedName>
    <definedName name="s055.00497">'s055'!$S$35</definedName>
    <definedName name="s055.00498">'s055'!$S$36</definedName>
    <definedName name="s055.00500">'s055'!$S$37</definedName>
    <definedName name="s055.00501">'s055'!$S$38</definedName>
    <definedName name="s055.00504">'s055'!$W$16</definedName>
    <definedName name="s055.00505">'s055'!$W$17</definedName>
    <definedName name="s055.00506">'s055'!$W$18</definedName>
    <definedName name="s055.00507">'s055'!$W$19</definedName>
    <definedName name="s055.00508">'s055'!$W$20</definedName>
    <definedName name="s055.00509">'s055'!$W$21</definedName>
    <definedName name="s055.00510">'s055'!$W$22</definedName>
    <definedName name="s055.00511">'s055'!$W$23</definedName>
    <definedName name="s055.00512">'s055'!$W$24</definedName>
    <definedName name="s055.00513">'s055'!$W$25</definedName>
    <definedName name="s055.00514">'s055'!$W$26</definedName>
    <definedName name="s055.00515">'s055'!$W$27</definedName>
    <definedName name="s055.00516">'s055'!$W$28</definedName>
    <definedName name="s055.00517">'s055'!$W$29</definedName>
    <definedName name="s055.00518">'s055'!$W$30</definedName>
    <definedName name="s055.00519">'s055'!$W$31</definedName>
    <definedName name="s055.00520">'s055'!$W$32</definedName>
    <definedName name="s055.00521">'s055'!$W$33</definedName>
    <definedName name="s055.00522">'s055'!$W$34</definedName>
    <definedName name="s055.00523">'s055'!$W$35</definedName>
    <definedName name="s055.00524">'s055'!$W$36</definedName>
    <definedName name="s055.00526">'s055'!$W$37</definedName>
    <definedName name="s055.00527">'s055'!$W$38</definedName>
    <definedName name="s055.00530">'s055'!$Y$16</definedName>
    <definedName name="s055.00531">'s055'!$Y$17</definedName>
    <definedName name="s055.00532">'s055'!$Y$18</definedName>
    <definedName name="s055.00533">'s055'!$Y$19</definedName>
    <definedName name="s055.00534">'s055'!$Y$20</definedName>
    <definedName name="s055.00535">'s055'!$Y$21</definedName>
    <definedName name="s055.00536">'s055'!$Y$22</definedName>
    <definedName name="s055.00537">'s055'!$Y$23</definedName>
    <definedName name="s055.00538">'s055'!$Y$24</definedName>
    <definedName name="s055.00539">'s055'!$Y$25</definedName>
    <definedName name="s055.00540">'s055'!$Y$26</definedName>
    <definedName name="s055.00541">'s055'!$Y$27</definedName>
    <definedName name="s055.00542">'s055'!$Y$28</definedName>
    <definedName name="s055.00543">'s055'!$Y$29</definedName>
    <definedName name="s055.00544">'s055'!$Y$30</definedName>
    <definedName name="s055.00545">'s055'!$Y$31</definedName>
    <definedName name="s055.00546">'s055'!$Y$32</definedName>
    <definedName name="s055.00547">'s055'!$Y$33</definedName>
    <definedName name="s055.00548">'s055'!$Y$34</definedName>
    <definedName name="s055.00549">'s055'!$Y$35</definedName>
    <definedName name="s055.00550">'s055'!$Y$36</definedName>
    <definedName name="s055.00552">'s055'!$Y$37</definedName>
    <definedName name="s055.00553">'s055'!$Y$38</definedName>
    <definedName name="s055.00571">'s055'!$E$44</definedName>
    <definedName name="s055.00572">'s055'!$E$45</definedName>
    <definedName name="s055.00573">'s055'!$E$46</definedName>
    <definedName name="s055.00574">'s055'!$E$47</definedName>
    <definedName name="s055.00575">'s055'!$E$48</definedName>
    <definedName name="s055.00576">'s055'!$E$49</definedName>
    <definedName name="s055.00577">'s055'!$G$44</definedName>
    <definedName name="s055.00578">'s055'!$G$45</definedName>
    <definedName name="s055.00579">'s055'!$G$46</definedName>
    <definedName name="s055.00580">'s055'!$G$47</definedName>
    <definedName name="s055.00583">'s055'!$I$44</definedName>
    <definedName name="s055.00584">'s055'!$I$45</definedName>
    <definedName name="s055.00585">'s055'!$I$46</definedName>
    <definedName name="s055.00586">'s055'!$I$47</definedName>
    <definedName name="s055.00587">'s055'!$I$48</definedName>
    <definedName name="s055.00588">'s055'!$I$49</definedName>
    <definedName name="s055.00600">'s055'!$M$44</definedName>
    <definedName name="s055.00601">'s055'!$M$45</definedName>
    <definedName name="s055.00602">'s055'!$M$46</definedName>
    <definedName name="s055.00603">'s055'!$M$47</definedName>
    <definedName name="s055.00604">'s055'!$M$48</definedName>
    <definedName name="s055.00605">'s055'!$M$49</definedName>
    <definedName name="s055.00606">'s055'!$O$44</definedName>
    <definedName name="s055.00607">'s055'!$O$45</definedName>
    <definedName name="s055.00608">'s055'!$O$46</definedName>
    <definedName name="s055.00609">'s055'!$O$47</definedName>
    <definedName name="s055.00611">'s055'!$Q$44</definedName>
    <definedName name="s055.00612">'s055'!$Q$45</definedName>
    <definedName name="s055.00613">'s055'!$Q$46</definedName>
    <definedName name="s055.00614">'s055'!$Q$47</definedName>
    <definedName name="s055.00615">'s055'!$Q$48</definedName>
    <definedName name="s055.00616">'s055'!$Q$49</definedName>
    <definedName name="s055.00620">'s055'!$U$44</definedName>
    <definedName name="s055.00621">'s055'!$U$45</definedName>
    <definedName name="s055.00622">'s055'!$U$46</definedName>
    <definedName name="s055.00623">'s055'!$U$47</definedName>
    <definedName name="s055.00624">'s055'!$U$48</definedName>
    <definedName name="s055.00625">'s055'!$U$49</definedName>
    <definedName name="s055.00626">'s055'!$W$44</definedName>
    <definedName name="s055.00627">'s055'!$W$45</definedName>
    <definedName name="s055.00628">'s055'!$W$46</definedName>
    <definedName name="s055.00629">'s055'!$W$47</definedName>
    <definedName name="s055.00631">'s055'!$Y$44</definedName>
    <definedName name="s055.00632">'s055'!$Y$45</definedName>
    <definedName name="s055.00633">'s055'!$Y$46</definedName>
    <definedName name="s055.00634">'s055'!$Y$47</definedName>
    <definedName name="s055.00635">'s055'!$Y$48</definedName>
    <definedName name="s055.00636">'s055'!$Y$49</definedName>
    <definedName name="s055.01100">'s055'!$K$56</definedName>
    <definedName name="s055.01101">'s055'!$K$57</definedName>
    <definedName name="s055.01102">'s055'!$K$58</definedName>
    <definedName name="s055.01103">'s055'!$K$59</definedName>
    <definedName name="s055.01104">'s055'!$K$60</definedName>
    <definedName name="s055.01105">'s055'!$K$61</definedName>
    <definedName name="s055.01106">'s055'!$K$62</definedName>
    <definedName name="s055.01107">'s055'!$K$63</definedName>
    <definedName name="s055.01108">'s055'!$K$64</definedName>
    <definedName name="s055.01110">'s055'!$M$56</definedName>
    <definedName name="s055.01111">'s055'!$M$57</definedName>
    <definedName name="s055.01112">'s055'!$M$58</definedName>
    <definedName name="s055.01113">'s055'!$M$59</definedName>
    <definedName name="s055.01114">'s055'!$M$60</definedName>
    <definedName name="s055.01115">'s055'!$M$61</definedName>
    <definedName name="s055.01116">'s055'!$M$62</definedName>
    <definedName name="s055.01117">'s055'!$M$63</definedName>
    <definedName name="s055.01118">'s055'!$M$64</definedName>
    <definedName name="s055.01119">'s055'!$M$65</definedName>
    <definedName name="s055.01120">'s055'!$Q$56</definedName>
    <definedName name="s055.01121">'s055'!$Q$57</definedName>
    <definedName name="s055.01122">'s055'!$Q$58</definedName>
    <definedName name="s055.01123">'s055'!$Q$59</definedName>
    <definedName name="s055.01124">'s055'!$Q$60</definedName>
    <definedName name="s055.01125">'s055'!$Q$61</definedName>
    <definedName name="s055.01126">'s055'!$Q$62</definedName>
    <definedName name="s055.01127">'s055'!$Q$63</definedName>
    <definedName name="s055.01128">'s055'!$Q$64</definedName>
    <definedName name="s055.01130">'s055'!$S$56</definedName>
    <definedName name="s055.01131">'s055'!$S$57</definedName>
    <definedName name="s055.01132">'s055'!$S$58</definedName>
    <definedName name="s055.01133">'s055'!$S$59</definedName>
    <definedName name="s055.01134">'s055'!$S$60</definedName>
    <definedName name="s055.01135">'s055'!$S$61</definedName>
    <definedName name="s055.01136">'s055'!$S$62</definedName>
    <definedName name="s055.01137">'s055'!$S$63</definedName>
    <definedName name="s055.01138">'s055'!$S$64</definedName>
    <definedName name="s055.01139">'s055'!$S$65</definedName>
    <definedName name="s055.01140">'s055'!$W$56</definedName>
    <definedName name="s055.01141">'s055'!$W$57</definedName>
    <definedName name="s055.01142">'s055'!$W$58</definedName>
    <definedName name="s055.01143">'s055'!$W$59</definedName>
    <definedName name="s055.01144">'s055'!$W$60</definedName>
    <definedName name="s055.01145">'s055'!$W$61</definedName>
    <definedName name="s055.01146">'s055'!$W$62</definedName>
    <definedName name="s055.01147">'s055'!$W$63</definedName>
    <definedName name="s055.01148">'s055'!$W$64</definedName>
    <definedName name="s055.01150">'s055'!$Y$56</definedName>
    <definedName name="s055.01151">'s055'!$Y$57</definedName>
    <definedName name="s055.01152">'s055'!$Y$58</definedName>
    <definedName name="s055.01153">'s055'!$Y$59</definedName>
    <definedName name="s055.01154">'s055'!$Y$60</definedName>
    <definedName name="s055.01155">'s055'!$Y$61</definedName>
    <definedName name="s055.01156">'s055'!$Y$62</definedName>
    <definedName name="s055.01157">'s055'!$Y$63</definedName>
    <definedName name="s055.01158">'s055'!$Y$64</definedName>
    <definedName name="s055.01159">'s055'!$Y$65</definedName>
    <definedName name="s055.01390">'s055'!$A$73:$L$98</definedName>
    <definedName name="s055.01400">'s055'!$N$73:$P$98</definedName>
    <definedName name="s055.01405">'s055'!$N$99</definedName>
    <definedName name="s055.01410">'s055'!$R$73:$S$98</definedName>
    <definedName name="s055.01415">'s055'!$R$99</definedName>
    <definedName name="s055.01420">'s055'!$V$73:$W$98</definedName>
    <definedName name="s055.01425">'s055'!$V$99:$W$99</definedName>
    <definedName name="s055.01430">'s055'!$Y$73:$Y$98</definedName>
    <definedName name="s055.01435">'s055'!$Y$99</definedName>
    <definedName name="s055.01500">'s055'!$K$106</definedName>
    <definedName name="s055.01501">'s055'!$K$107</definedName>
    <definedName name="s055.01502">'s055'!$K$108</definedName>
    <definedName name="s055.01503">'s055'!$K$109</definedName>
    <definedName name="s055.01504">'s055'!$K$110</definedName>
    <definedName name="s055.01505">'s055'!$K$111</definedName>
    <definedName name="s055.01506">'s055'!$K$112</definedName>
    <definedName name="s055.01507">'s055'!$K$113</definedName>
    <definedName name="s055.01508">'s055'!$K$114</definedName>
    <definedName name="s055.01509">'s055'!$K$115</definedName>
    <definedName name="s055.01510">'s055'!$K$116</definedName>
    <definedName name="s055.01511">'s055'!$K$117</definedName>
    <definedName name="s055.01512">'s055'!$K$118</definedName>
    <definedName name="s055.01513">'s055'!$K$119</definedName>
    <definedName name="s055.01514">'s055'!$K$120</definedName>
    <definedName name="s055.01515">'s055'!$K$121</definedName>
    <definedName name="s055.01516">'s055'!$K$122</definedName>
    <definedName name="s055.01517">'s055'!$K$123</definedName>
    <definedName name="s055.01518">'s055'!$K$124</definedName>
    <definedName name="s055.01519">'s055'!$K$125</definedName>
    <definedName name="s055.01520">'s055'!$K$126</definedName>
    <definedName name="s055.01521">'s055'!$M$106</definedName>
    <definedName name="s055.01522">'s055'!$M$107</definedName>
    <definedName name="s055.01523">'s055'!$M$108</definedName>
    <definedName name="s055.01524">'s055'!$M$109</definedName>
    <definedName name="s055.01525">'s055'!$M$110</definedName>
    <definedName name="s055.01526">'s055'!$M$111</definedName>
    <definedName name="s055.01527">'s055'!$M$112</definedName>
    <definedName name="s055.01528">'s055'!$M$113</definedName>
    <definedName name="s055.01529">'s055'!$M$114</definedName>
    <definedName name="s055.01530">'s055'!$M$115</definedName>
    <definedName name="s055.01531">'s055'!$M$116</definedName>
    <definedName name="s055.01532">'s055'!$M$117</definedName>
    <definedName name="s055.01533">'s055'!$M$118</definedName>
    <definedName name="s055.01534">'s055'!$M$119</definedName>
    <definedName name="s055.01535">'s055'!$M$120</definedName>
    <definedName name="s055.01536">'s055'!$M$121</definedName>
    <definedName name="s055.01537">'s055'!$M$122</definedName>
    <definedName name="s055.01538">'s055'!$M$123</definedName>
    <definedName name="s055.01539">'s055'!$M$124</definedName>
    <definedName name="s055.01540">'s055'!$M$125</definedName>
    <definedName name="s055.01541">'s055'!$M$126</definedName>
    <definedName name="s055.01542">'s055'!$Q$106</definedName>
    <definedName name="s055.01543">'s055'!$Q$107</definedName>
    <definedName name="s055.01544">'s055'!$Q$108</definedName>
    <definedName name="s055.01545">'s055'!$Q$109</definedName>
    <definedName name="s055.01546">'s055'!$Q$110</definedName>
    <definedName name="s055.01547">'s055'!$Q$111</definedName>
    <definedName name="s055.01548">'s055'!$Q$112</definedName>
    <definedName name="s055.01549">'s055'!$Q$113</definedName>
    <definedName name="s055.01550">'s055'!$Q$114</definedName>
    <definedName name="s055.01551">'s055'!$Q$115</definedName>
    <definedName name="s055.01552">'s055'!$Q$116</definedName>
    <definedName name="s055.01553">'s055'!$Q$117</definedName>
    <definedName name="s055.01554">'s055'!$Q$118</definedName>
    <definedName name="s055.01555">'s055'!$Q$119</definedName>
    <definedName name="s055.01556">'s055'!$Q$120</definedName>
    <definedName name="s055.01557">'s055'!$Q$121</definedName>
    <definedName name="s055.01558">'s055'!$Q$122</definedName>
    <definedName name="s055.01559">'s055'!$Q$123</definedName>
    <definedName name="s055.01560">'s055'!$Q$124</definedName>
    <definedName name="s055.01561">'s055'!$Q$125</definedName>
    <definedName name="s055.01562">'s055'!$Q$126</definedName>
    <definedName name="s055.01563">'s055'!$S$106</definedName>
    <definedName name="s055.01564">'s055'!$S$107</definedName>
    <definedName name="s055.01565">'s055'!$S$108</definedName>
    <definedName name="s055.01566">'s055'!$S$109</definedName>
    <definedName name="s055.01567">'s055'!$S$110</definedName>
    <definedName name="s055.01568">'s055'!$S$111</definedName>
    <definedName name="s055.01569">'s055'!$S$112</definedName>
    <definedName name="s055.01570">'s055'!$S$113</definedName>
    <definedName name="s055.01571">'s055'!$S$114</definedName>
    <definedName name="s055.01572">'s055'!$S$115</definedName>
    <definedName name="s055.01573">'s055'!$S$116</definedName>
    <definedName name="s055.01574">'s055'!$S$117</definedName>
    <definedName name="s055.01575">'s055'!$S$118</definedName>
    <definedName name="s055.01576">'s055'!$S$119</definedName>
    <definedName name="s055.01577">'s055'!$S$120</definedName>
    <definedName name="s055.01578">'s055'!$S$121</definedName>
    <definedName name="s055.01579">'s055'!$S$122</definedName>
    <definedName name="s055.01580">'s055'!$S$123</definedName>
    <definedName name="s055.01581">'s055'!$S$124</definedName>
    <definedName name="s055.01582">'s055'!$S$125</definedName>
    <definedName name="s055.01583">'s055'!$S$126</definedName>
    <definedName name="s055.01584">'s055'!$W$106</definedName>
    <definedName name="s055.01585">'s055'!$W$107</definedName>
    <definedName name="s055.01586">'s055'!$W$108</definedName>
    <definedName name="s055.01587">'s055'!$W$109</definedName>
    <definedName name="s055.01588">'s055'!$W$110</definedName>
    <definedName name="s055.01589">'s055'!$W$111</definedName>
    <definedName name="s055.01590">'s055'!$W$112</definedName>
    <definedName name="s055.01591">'s055'!$W$113</definedName>
    <definedName name="s055.01592">'s055'!$W$114</definedName>
    <definedName name="s055.01593">'s055'!$W$115</definedName>
    <definedName name="s055.01594">'s055'!$W$116</definedName>
    <definedName name="s055.01595">'s055'!$W$117</definedName>
    <definedName name="s055.01596">'s055'!$W$118</definedName>
    <definedName name="s055.01597">'s055'!$W$119</definedName>
    <definedName name="s055.01598">'s055'!$W$120</definedName>
    <definedName name="s055.01599">'s055'!$W$121</definedName>
    <definedName name="s055.01600">'s055'!$W$122</definedName>
    <definedName name="s055.01601">'s055'!$W$123</definedName>
    <definedName name="s055.01602">'s055'!$W$124</definedName>
    <definedName name="s055.01603">'s055'!$W$125</definedName>
    <definedName name="s055.01604">'s055'!$W$126</definedName>
    <definedName name="s055.01605">'s055'!$Y$106</definedName>
    <definedName name="s055.01606">'s055'!$Y$107</definedName>
    <definedName name="s055.01607">'s055'!$Y$108</definedName>
    <definedName name="s055.01608">'s055'!$Y$109</definedName>
    <definedName name="s055.01609">'s055'!$Y$110</definedName>
    <definedName name="s055.01610">'s055'!$Y$111</definedName>
    <definedName name="s055.01611">'s055'!$Y$112</definedName>
    <definedName name="s055.01612">'s055'!$Y$113</definedName>
    <definedName name="s055.01613">'s055'!$Y$114</definedName>
    <definedName name="s055.01614">'s055'!$Y$115</definedName>
    <definedName name="s055.01615">'s055'!$Y$116</definedName>
    <definedName name="s055.01616">'s055'!$Y$117</definedName>
    <definedName name="s055.01617">'s055'!$Y$118</definedName>
    <definedName name="s055.01618">'s055'!$Y$119</definedName>
    <definedName name="s055.01619">'s055'!$Y$120</definedName>
    <definedName name="s055.01620">'s055'!$Y$121</definedName>
    <definedName name="s055.01621">'s055'!$Y$122</definedName>
    <definedName name="s055.01622">'s055'!$Y$123</definedName>
    <definedName name="s055.01623">'s055'!$Y$124</definedName>
    <definedName name="s055.01624">'s055'!$Y$125</definedName>
    <definedName name="s055.01625">'s055'!$Y$126</definedName>
    <definedName name="s055.01626">'s055'!$Y$127</definedName>
    <definedName name="s055.02000">'s055'!$K$133</definedName>
    <definedName name="s055.02005">'s055'!$B$134</definedName>
    <definedName name="s055.02010">'s055'!$K$134</definedName>
    <definedName name="s055.02020">'s055'!$M$134</definedName>
    <definedName name="s055.02030">'s055'!$Q$133</definedName>
    <definedName name="s055.02040">'s055'!$Q$134</definedName>
    <definedName name="s055.02050">'s055'!$S$134</definedName>
    <definedName name="s055.02060">'s055'!$W$133</definedName>
    <definedName name="s055.02070">'s055'!$W$134</definedName>
    <definedName name="s055.02080">'s055'!$Y$134</definedName>
    <definedName name="s055.03000">'s055'!$M$140</definedName>
    <definedName name="s055.03010">'s055'!$M$141</definedName>
    <definedName name="s055.03020">'s055'!$M$142</definedName>
    <definedName name="s055.03030">'s055'!$M$143</definedName>
    <definedName name="s055.03040">'s055'!$M$144</definedName>
    <definedName name="s055.03050">'s055'!$M$145</definedName>
    <definedName name="s055.03060">'s055'!$O$140</definedName>
    <definedName name="s055.03070">'s055'!$O$141</definedName>
    <definedName name="s055.03080">'s055'!$O$142</definedName>
    <definedName name="s055.03090">'s055'!$O$143</definedName>
    <definedName name="s055.03110">'s055'!$Q$140</definedName>
    <definedName name="s055.03120">'s055'!$Q$141</definedName>
    <definedName name="s055.03130">'s055'!$Q$142</definedName>
    <definedName name="s055.03140">'s055'!$Q$143</definedName>
    <definedName name="s055.03150">'s055'!$Q$144</definedName>
    <definedName name="s055.03160">'s055'!$Q$145</definedName>
    <definedName name="s055.03170">'s055'!$U$140</definedName>
    <definedName name="s055.03180">'s055'!$U$141</definedName>
    <definedName name="s055.03190">'s055'!$U$142</definedName>
    <definedName name="s055.03200">'s055'!$U$143</definedName>
    <definedName name="s055.03210">'s055'!$U$144</definedName>
    <definedName name="s055.03220">'s055'!$U$145</definedName>
    <definedName name="s055.03230">'s055'!$W$140</definedName>
    <definedName name="s055.03231">'s055'!$W$141</definedName>
    <definedName name="s055.03232">'s055'!$W$142</definedName>
    <definedName name="s055.03233">'s055'!$W$143</definedName>
    <definedName name="s055.03250">'s055'!$Y$140</definedName>
    <definedName name="s055.03260">'s055'!$Y$141</definedName>
    <definedName name="s055.03270">'s055'!$Y$142</definedName>
    <definedName name="s055.03280">'s055'!$Y$143</definedName>
    <definedName name="s055.03290">'s055'!$Y$144</definedName>
    <definedName name="s055.03300">'s055'!$Y$145</definedName>
    <definedName name="s055.09542">'s055'!$M$127</definedName>
    <definedName name="s055.09584">'s055'!$S$127</definedName>
    <definedName name="s060.00300">'s060'!$A$13</definedName>
    <definedName name="s060.00400">'s060'!$A$21</definedName>
    <definedName name="s060.00430">'s060'!$A$27</definedName>
    <definedName name="_xlnm.Print_Titles" localSheetId="1">'s010'!$1:$1</definedName>
    <definedName name="_xlnm.Print_Titles" localSheetId="2">'s020'!$1:$1</definedName>
    <definedName name="_xlnm.Print_Titles" localSheetId="3">'s030'!$1:$1</definedName>
    <definedName name="_xlnm.Print_Titles" localSheetId="4">'s040'!$1:$1</definedName>
    <definedName name="_xlnm.Print_Titles" localSheetId="5">'s051'!$1:$1</definedName>
    <definedName name="_xlnm.Print_Titles" localSheetId="6">'s052'!$1:$1</definedName>
    <definedName name="_xlnm.Print_Titles" localSheetId="7">'s053'!$1:$1</definedName>
    <definedName name="_xlnm.Print_Titles" localSheetId="8">'s054'!$1:$1</definedName>
    <definedName name="_xlnm.Print_Titles" localSheetId="9">'s055'!$1:$1</definedName>
    <definedName name="Z_88908152_5DDD_4E95_A0E7_AF11EC7C90DB_.wvu.PrintArea" localSheetId="1" hidden="1">'s010'!$A$2:$D$198</definedName>
    <definedName name="Z_88908152_5DDD_4E95_A0E7_AF11EC7C90DB_.wvu.PrintArea" localSheetId="2" hidden="1">'s020'!$A$9:$C$65</definedName>
    <definedName name="Z_88908152_5DDD_4E95_A0E7_AF11EC7C90DB_.wvu.PrintArea" localSheetId="3" hidden="1">'s030'!$A$2:$G$58</definedName>
    <definedName name="Z_88908152_5DDD_4E95_A0E7_AF11EC7C90DB_.wvu.PrintArea" localSheetId="5" hidden="1">'s051'!$A$10:$AE$149</definedName>
    <definedName name="Z_88908152_5DDD_4E95_A0E7_AF11EC7C90DB_.wvu.PrintArea" localSheetId="6" hidden="1">'s052'!$A$11:$S$41</definedName>
    <definedName name="Z_88908152_5DDD_4E95_A0E7_AF11EC7C90DB_.wvu.PrintArea" localSheetId="7" hidden="1">'s053'!#REF!</definedName>
    <definedName name="Z_88908152_5DDD_4E95_A0E7_AF11EC7C90DB_.wvu.PrintArea" localSheetId="8" hidden="1">'s054'!$A$10:$G$11</definedName>
    <definedName name="Z_88908152_5DDD_4E95_A0E7_AF11EC7C90DB_.wvu.PrintArea" localSheetId="9" hidden="1">'s055'!$A$9:$W$126</definedName>
  </definedNames>
  <calcPr fullCalcOnLoad="1"/>
</workbook>
</file>

<file path=xl/sharedStrings.xml><?xml version="1.0" encoding="utf-8"?>
<sst xmlns="http://schemas.openxmlformats.org/spreadsheetml/2006/main" count="3718" uniqueCount="2479">
  <si>
    <t>s030.09240 &lt; 0</t>
  </si>
  <si>
    <t>s030.08250 &lt; 0</t>
  </si>
  <si>
    <t>s030.09250 &lt; 0</t>
  </si>
  <si>
    <t>s030.08320 &lt; 0</t>
  </si>
  <si>
    <t>s030.09320 &lt; 0</t>
  </si>
  <si>
    <t>s030.08420 &lt; 0</t>
  </si>
  <si>
    <t>s030.09420 &lt; 0</t>
  </si>
  <si>
    <t>s030.08500 &lt; 0</t>
  </si>
  <si>
    <t>s030.09500 &lt; 0</t>
  </si>
  <si>
    <t>s030.08510 &lt; 0</t>
  </si>
  <si>
    <t>s030.09510 &lt; 0</t>
  </si>
  <si>
    <t>s030.08520 &lt; 0</t>
  </si>
  <si>
    <t>s030.09520 &lt; 0</t>
  </si>
  <si>
    <t>s030.08630 &lt; 0</t>
  </si>
  <si>
    <t>s030.09630 &lt; 0</t>
  </si>
  <si>
    <t>s030.08720 &lt; 0</t>
  </si>
  <si>
    <t>s030.09720 &lt; 0</t>
  </si>
  <si>
    <t>s030.08100 = s030.08110 + s030.08120 + s030.08130 + s030.08140 + s030.08150 + s030.08160</t>
  </si>
  <si>
    <t>s030.09100 = s030.09110 + s030.09120 + s030.09130 + s030.09140 + s030.09150 + s030.09160</t>
  </si>
  <si>
    <t>s030.08200 = s030.08210 + s030.08220 + s030.08230 + s030.08240 + s030.08250</t>
  </si>
  <si>
    <t>s030.09200 = s030.09210 + s030.09220 + s030.09230 + s030.09240 + s030.09250</t>
  </si>
  <si>
    <t>s030.08300 = s030.08310 + s030.08320 + s030.08330</t>
  </si>
  <si>
    <t>s030.09300 = s030.09310 + s030.09320 + s030.09330</t>
  </si>
  <si>
    <t>s030.08000 = s030.08100 + s030.08200 + s030.08300</t>
  </si>
  <si>
    <t>s030.09000 = s030.09100 + s030.09200 + s030.09300</t>
  </si>
  <si>
    <t>s030.08400 = s030.08410 + s030.08420</t>
  </si>
  <si>
    <t>s030.09400 = s030.09410 + s030.09420</t>
  </si>
  <si>
    <t>s030.08500 = s030.08510 + s030.08520</t>
  </si>
  <si>
    <t>s030.09500 = s030.09510 + s030.09520</t>
  </si>
  <si>
    <t>s030.08600 = s030.08610 + s030.08620 + s030.08630</t>
  </si>
  <si>
    <t>s030.09600 = s030.09610 + s030.09620 + s030.09630</t>
  </si>
  <si>
    <t>s030.08700 = s030.08710 + s030.08720 + s030.08730 + s030.08740 + s030.08750 + s030.08770 + s030.08780</t>
  </si>
  <si>
    <t>s030.09700 = s030.09710 + s030.09720 + s030.09730 + s030.09740 + s030.09750 + s030.09770 + s030.09780</t>
  </si>
  <si>
    <t>s051.00021 = s051.00001 + s051.00002 + s051.00003 + s051.00004 + s051.00005 + s051.00007 + s051.00008 + s051.00009 + s051.00010 + s051.00011 + s051.00012 + s051.00013 + s051.00014 + s051.00015 + s051.00016 + s051.00017 + s051.00018 + s051.00019 + s051.00020</t>
  </si>
  <si>
    <t>1.6 Otros intereses cobrados/pagados (neto)</t>
  </si>
  <si>
    <t>2.1 Comisiones pagadas a la sociedad gestora</t>
  </si>
  <si>
    <t>7.4 Administraciones públicas - Pasivo</t>
  </si>
  <si>
    <t>7.5 Otros deudores y acreedores</t>
  </si>
  <si>
    <t>5.1 Pagos por adquisición de derechos de crédito</t>
  </si>
  <si>
    <t>5.2 Pagos por adquisición de otras inversiones financieras</t>
  </si>
  <si>
    <t>7.3 Cobros derechos de crédito pendientes ingreso</t>
  </si>
  <si>
    <t>5. Flujos de caja por adquisición de activos financieros</t>
  </si>
  <si>
    <t>6.1 Cobros por amortización de derechos de crédito</t>
  </si>
  <si>
    <t>2.2 Credito línea de líquidez</t>
  </si>
  <si>
    <t>1.3 Otros activos financieros</t>
  </si>
  <si>
    <t>2.3 Otros pasivos financieros</t>
  </si>
  <si>
    <t>2.2 Deudas con entidades de crédito</t>
  </si>
  <si>
    <t>%</t>
  </si>
  <si>
    <t>Total</t>
  </si>
  <si>
    <t>Importe pendiente</t>
  </si>
  <si>
    <t>Hasta 1 mes</t>
  </si>
  <si>
    <t>De 1 a 2 meses</t>
  </si>
  <si>
    <t>De 2 a 3 meses</t>
  </si>
  <si>
    <t>De 3 a 6 meses</t>
  </si>
  <si>
    <t>De 6 a 12 meses</t>
  </si>
  <si>
    <t>Ver Notas</t>
  </si>
  <si>
    <t>No Aplica</t>
  </si>
  <si>
    <t>Número de NIF</t>
  </si>
  <si>
    <t>Selección de NIF</t>
  </si>
  <si>
    <t>s051.01316 = s051.01310 + s051.01311 + s051.01312 + s051.01313 + s051.01314 + s051.01315</t>
  </si>
  <si>
    <t>s051.00050 = s051.00030 + s051.00031 + s051.00032 + s051.00033 + s051.00034 + s051.00036 + s051.00037 + s051.00038 + s051.00039 + s051.00040 + s051.00041 + s051.00042 + s051.00043 + s051.00044 + s051.00045 + s051.00046 + s051.00047 + s051.00048 + s051.00049</t>
  </si>
  <si>
    <t>A) FLUJOS DE EFECTIVO PROVENIENTES DE ACTIVIDADES DE EXPLOTACION</t>
  </si>
  <si>
    <t>Nº de pasivos emitidos</t>
  </si>
  <si>
    <t>Nominal unitario</t>
  </si>
  <si>
    <t>B) FLUJOS DE EFECTIVO PROCEDENTES DE ACTIVIDADES INVERSION/ FINANCIACION</t>
  </si>
  <si>
    <t>Amortización principal</t>
  </si>
  <si>
    <t>Intereses</t>
  </si>
  <si>
    <t>3. Deudas con entidades de crédito</t>
  </si>
  <si>
    <t>5. Otros pasivos financieros</t>
  </si>
  <si>
    <t>3.2 Credito linea de líquidez</t>
  </si>
  <si>
    <t>3.3 Otras deudas con entidades de crédito</t>
  </si>
  <si>
    <t>De 12 a 18 meses</t>
  </si>
  <si>
    <t>Más de 3 años</t>
  </si>
  <si>
    <t>Inferior a 1 año</t>
  </si>
  <si>
    <t>Entre 1 y 2 años</t>
  </si>
  <si>
    <t>Entre 2 y 3 años</t>
  </si>
  <si>
    <t>Entre 3 y 5 años</t>
  </si>
  <si>
    <t>Entre 5 y 10 años</t>
  </si>
  <si>
    <t>Superior a 10 años</t>
  </si>
  <si>
    <t>V. Activos financieros a corto plazo</t>
  </si>
  <si>
    <t>C) AJUSTES REPERCUTIDOS EN BALANCE DE INGRESOS Y GASTOS RECONOCIDOS</t>
  </si>
  <si>
    <t>VI. Ajustes por periodificaciones</t>
  </si>
  <si>
    <t>Préstamos Consumo</t>
  </si>
  <si>
    <t>Préstamos automoción</t>
  </si>
  <si>
    <t>Arrendamiento financiero</t>
  </si>
  <si>
    <t>Derechos de crédito futuros</t>
  </si>
  <si>
    <t>Bonos de titulización</t>
  </si>
  <si>
    <t>Concentración</t>
  </si>
  <si>
    <t>Porcentaje</t>
  </si>
  <si>
    <t xml:space="preserve">Total Fallidos </t>
  </si>
  <si>
    <t>2. Activos Morosos por otras razones</t>
  </si>
  <si>
    <t>3. Activos Fallidos por impagos con antigüedad igual o superior a</t>
  </si>
  <si>
    <t>4. Activos Fallidos por otras razones</t>
  </si>
  <si>
    <t xml:space="preserve">Total Morosos </t>
  </si>
  <si>
    <t>(4) Total de pagos realizados desde la fecha de constitución del Fondo.</t>
  </si>
  <si>
    <t>4. Permuta financiera de intereses (S/N)</t>
  </si>
  <si>
    <t>5. Permuta financiera de tipos de cambio (S/N)</t>
  </si>
  <si>
    <t>6. Otras permutas financieras (S/N)</t>
  </si>
  <si>
    <t>3. Exceso de spread (%) (1)</t>
  </si>
  <si>
    <t>(1) Diferencial existente entre los tipos de interés medios percibidos de la cartera de activos titulizados y el tipo de interés medio de los pasivos emitidos cuya finalidad ha sido la adquisición de los activos.</t>
  </si>
  <si>
    <t>7. Importe disponible de la línea/s de liquidez (2)</t>
  </si>
  <si>
    <t xml:space="preserve">(2) Se incluirá el importe total disponible de las distintas líneas de liquidez en caso de que haya más de una. </t>
  </si>
  <si>
    <t>8. Subordinación de series (S/N)</t>
  </si>
  <si>
    <t>9. Porcentaje del importe pendiente de las series no subordinadas sobre el importe pendiente del total bonos. (3)</t>
  </si>
  <si>
    <t>11. Porcentaje que representa el aval sobre el total de los pasivos emitidos</t>
  </si>
  <si>
    <t>10. Importe de los pasivos emitidos garantizados por avales</t>
  </si>
  <si>
    <t>(4) La gestora deberá incluir una descripción de dichas mejoras crediticias en las notas explicativas en caso de que las consideren relevantes</t>
  </si>
  <si>
    <t>13. Otros (S/N) (4)</t>
  </si>
  <si>
    <t>Contraparte del Fondo de Reserva u otras mejoras equivalentes (5)</t>
  </si>
  <si>
    <t>(5) Si el Fondo de Reserva se ha constituido a través de títulos emitidos y se desconoce el titular de esos títulos no se cumplimentará.</t>
  </si>
  <si>
    <t xml:space="preserve">CIRCUNSTANCIAS ESPECÍFICAS ESTABLECIDAS CONTRACTUALMENTE EN EL FONDO </t>
  </si>
  <si>
    <t>CNAE</t>
  </si>
  <si>
    <t xml:space="preserve">Permutas financieras de tipos de interes </t>
  </si>
  <si>
    <t xml:space="preserve">Permutas financieras de tipos de cambio </t>
  </si>
  <si>
    <t>Otras Permutas financieras</t>
  </si>
  <si>
    <t>NIF</t>
  </si>
  <si>
    <t>Denominación</t>
  </si>
  <si>
    <t>3. Resultado de operaciones financieras (neto)</t>
  </si>
  <si>
    <t>YESOS IBERICOS, SA</t>
  </si>
  <si>
    <t>COPERATIVAS DE CRÉDITO (indicar en notas)</t>
  </si>
  <si>
    <t>OTRAS CAJAS DE AHORRO (inidicar en notas)</t>
  </si>
  <si>
    <t>OTROS BANCOS (indicar en notas)</t>
  </si>
  <si>
    <t>OTROS (indicar en notas)</t>
  </si>
  <si>
    <t>OTRAS SURCURSALES EN ESPAÑA (indicar en notas)</t>
  </si>
  <si>
    <t>OTROS E.F.C. (indicar en notas)</t>
  </si>
  <si>
    <t>CAJA RURAL DE NAVARRA, S.C.C.</t>
  </si>
  <si>
    <t>CAJA RURAL DE ARAGÓN, S.C.C.</t>
  </si>
  <si>
    <t>CAIXA DE C. DELS ENGINYERS-C.C. INGENIEROS S.C.C.</t>
  </si>
  <si>
    <t>(1) La distribución de los activos vencidos impagados entre los distintos tramos señalados se realizará en función de la antigüedad de la primera cuota vencida y no cobrada. Los intervalos se entenderán excluido el de inicio e incluido el final (p.e. De 1 a 2 meses, esto es: superior a 1 mes y menor o igual a 2 meses)</t>
  </si>
  <si>
    <t>(2) La distribución de los activos vencidos impagados entre los distintos tramos señalados se realizará en función de la antigüedad de la primera cuota vencida y no cobrada. Los intervalos se entenderán excluido el de inicio e incluido el final (p.e. De 1 a 2 meses, esto es: superior a 1 mes y menor o igual a 2 meses)</t>
  </si>
  <si>
    <t>4. Diferencias de cambio (neto)</t>
  </si>
  <si>
    <t>2.6 Préstamos a PYMES</t>
  </si>
  <si>
    <t>2.8 Préstamos Corporativos</t>
  </si>
  <si>
    <t>3.6 Préstamos a PYMES</t>
  </si>
  <si>
    <t>3.8 Préstamos Corporativos</t>
  </si>
  <si>
    <t>2.1 Préstamo subordinado</t>
  </si>
  <si>
    <t>3.1 Préstamo subordinado</t>
  </si>
  <si>
    <t>4000</t>
  </si>
  <si>
    <t>8000</t>
  </si>
  <si>
    <t>8100</t>
  </si>
  <si>
    <t>8110</t>
  </si>
  <si>
    <t>8120</t>
  </si>
  <si>
    <t>8130</t>
  </si>
  <si>
    <t>8140</t>
  </si>
  <si>
    <t>8150</t>
  </si>
  <si>
    <t>8160</t>
  </si>
  <si>
    <t>8200</t>
  </si>
  <si>
    <t>8210</t>
  </si>
  <si>
    <t>8220</t>
  </si>
  <si>
    <t>8230</t>
  </si>
  <si>
    <t>8240</t>
  </si>
  <si>
    <t>8250</t>
  </si>
  <si>
    <t>8300</t>
  </si>
  <si>
    <t>8310</t>
  </si>
  <si>
    <t>8320</t>
  </si>
  <si>
    <t>8330</t>
  </si>
  <si>
    <t>8350</t>
  </si>
  <si>
    <t>8400</t>
  </si>
  <si>
    <t>8410</t>
  </si>
  <si>
    <t>8420</t>
  </si>
  <si>
    <t>8500</t>
  </si>
  <si>
    <t>8510</t>
  </si>
  <si>
    <t>8520</t>
  </si>
  <si>
    <t>8600</t>
  </si>
  <si>
    <t>8610</t>
  </si>
  <si>
    <t>8620</t>
  </si>
  <si>
    <t>8630</t>
  </si>
  <si>
    <t>8700</t>
  </si>
  <si>
    <t>8710</t>
  </si>
  <si>
    <t>8720</t>
  </si>
  <si>
    <t>8730</t>
  </si>
  <si>
    <t>8740</t>
  </si>
  <si>
    <t>8750</t>
  </si>
  <si>
    <t>8770</t>
  </si>
  <si>
    <t>8780</t>
  </si>
  <si>
    <t>8800</t>
  </si>
  <si>
    <t>8900</t>
  </si>
  <si>
    <t>8990</t>
  </si>
  <si>
    <t>6010</t>
  </si>
  <si>
    <t>6020</t>
  </si>
  <si>
    <t>6021</t>
  </si>
  <si>
    <t>6022</t>
  </si>
  <si>
    <t>6030</t>
  </si>
  <si>
    <t>6040</t>
  </si>
  <si>
    <t>6100</t>
  </si>
  <si>
    <t>6110</t>
  </si>
  <si>
    <t>6120</t>
  </si>
  <si>
    <t>6121</t>
  </si>
  <si>
    <t>6122</t>
  </si>
  <si>
    <t>6130</t>
  </si>
  <si>
    <t>6140</t>
  </si>
  <si>
    <t>6200</t>
  </si>
  <si>
    <t>6310</t>
  </si>
  <si>
    <t>6320</t>
  </si>
  <si>
    <t>6321</t>
  </si>
  <si>
    <t>6322</t>
  </si>
  <si>
    <t>6330</t>
  </si>
  <si>
    <t>6400</t>
  </si>
  <si>
    <t>6500</t>
  </si>
  <si>
    <t>(1) En Fondos abiertos, importe de principal pendiente de reembolso en la fecha de presentación de la información de los nuevos activos incorporados en el periodo.</t>
  </si>
  <si>
    <t>2.4 Comisiones variables pagadas</t>
  </si>
  <si>
    <t>4. Flujos de caja netos por emisión de valores de titulización</t>
  </si>
  <si>
    <t>4.2 Pagos por emisión de valores de titulización (aseguramiento colocación)</t>
  </si>
  <si>
    <t>4.1 Cobros por emisión de valores de titulización</t>
  </si>
  <si>
    <t>6.3 Pagos por amortización de valores de titulización</t>
  </si>
  <si>
    <t>(3) La gestora deberá cumplimentar el índice de referencia que corresponda en cada caso (EURIBOR un año, EURIBOR a tres meses....). En el caso de tipos fijos esta columna se cumplimentará con el término "fijo".</t>
  </si>
  <si>
    <t>(5) Días acumulados desde la última fecha de pago.</t>
  </si>
  <si>
    <t>(6) Intereses acumulados desde la última fecha de pago.</t>
  </si>
  <si>
    <t>(2) Entendiendo como fecha final aquella que de acuerdo con la documentación contractual determine la extinción del Fondo, siempre que no se haya producido previamente una causa de liquidación anticipada.</t>
  </si>
  <si>
    <t>(3) Total de pagos realizados desde el último cierre anual.</t>
  </si>
  <si>
    <t>Mercados de cotización de los valores emitidos:</t>
  </si>
  <si>
    <t>Fecha último cambio de calificación crediticia</t>
  </si>
  <si>
    <t>Situación cierre anual anterior</t>
  </si>
  <si>
    <t>(2) La gestora deberá cumplimentar la calificación crediticia otorgada por cada agencia de rating, cuya denominación también deberá ser cumplimentada, para cada serie  -MDY, para Moody´s; SYP, para Standard &amp; Poors, FCH para Fitch -</t>
  </si>
  <si>
    <t>0571</t>
  </si>
  <si>
    <t>0572</t>
  </si>
  <si>
    <t>0573</t>
  </si>
  <si>
    <t>0574</t>
  </si>
  <si>
    <t>0575</t>
  </si>
  <si>
    <t>0576</t>
  </si>
  <si>
    <t>0577</t>
  </si>
  <si>
    <t>0578</t>
  </si>
  <si>
    <t>0580</t>
  </si>
  <si>
    <t>0583</t>
  </si>
  <si>
    <t>0584</t>
  </si>
  <si>
    <t>0585</t>
  </si>
  <si>
    <t>0586</t>
  </si>
  <si>
    <t>0587</t>
  </si>
  <si>
    <t>0588</t>
  </si>
  <si>
    <t>0616</t>
  </si>
  <si>
    <t>0627</t>
  </si>
  <si>
    <t>0628</t>
  </si>
  <si>
    <t>0510</t>
  </si>
  <si>
    <t>0650</t>
  </si>
  <si>
    <t>0660</t>
  </si>
  <si>
    <t>0810</t>
  </si>
  <si>
    <t>0820</t>
  </si>
  <si>
    <t>0850</t>
  </si>
  <si>
    <t>0851</t>
  </si>
  <si>
    <t>0852</t>
  </si>
  <si>
    <t>0241</t>
  </si>
  <si>
    <t>0242</t>
  </si>
  <si>
    <t>0250</t>
  </si>
  <si>
    <t>0260</t>
  </si>
  <si>
    <t>0350</t>
  </si>
  <si>
    <t>0270</t>
  </si>
  <si>
    <t>0280</t>
  </si>
  <si>
    <t>0290</t>
  </si>
  <si>
    <t>0403</t>
  </si>
  <si>
    <t>0404</t>
  </si>
  <si>
    <t>0405</t>
  </si>
  <si>
    <t>0406</t>
  </si>
  <si>
    <t>0407</t>
  </si>
  <si>
    <t>0408</t>
  </si>
  <si>
    <t>0409</t>
  </si>
  <si>
    <t>0410</t>
  </si>
  <si>
    <t>0411</t>
  </si>
  <si>
    <t>0412</t>
  </si>
  <si>
    <t>0413</t>
  </si>
  <si>
    <t>0414</t>
  </si>
  <si>
    <t>0415</t>
  </si>
  <si>
    <t>0416</t>
  </si>
  <si>
    <t>0417</t>
  </si>
  <si>
    <t>0418</t>
  </si>
  <si>
    <t>0419</t>
  </si>
  <si>
    <t>0420</t>
  </si>
  <si>
    <t>0450</t>
  </si>
  <si>
    <t>0430</t>
  </si>
  <si>
    <t>0440</t>
  </si>
  <si>
    <t>0431</t>
  </si>
  <si>
    <t>0432</t>
  </si>
  <si>
    <t>0441</t>
  </si>
  <si>
    <t>0442</t>
  </si>
  <si>
    <t>0451</t>
  </si>
  <si>
    <t>0452</t>
  </si>
  <si>
    <t>0460</t>
  </si>
  <si>
    <t>0461</t>
  </si>
  <si>
    <t>0462</t>
  </si>
  <si>
    <t>0610</t>
  </si>
  <si>
    <t>0620</t>
  </si>
  <si>
    <t>0630</t>
  </si>
  <si>
    <t>0710</t>
  </si>
  <si>
    <t>0711</t>
  </si>
  <si>
    <t>0712</t>
  </si>
  <si>
    <t>0713</t>
  </si>
  <si>
    <t>0720</t>
  </si>
  <si>
    <t>0721</t>
  </si>
  <si>
    <t>0722</t>
  </si>
  <si>
    <t>0723</t>
  </si>
  <si>
    <t>0724</t>
  </si>
  <si>
    <t>0730</t>
  </si>
  <si>
    <t>0731</t>
  </si>
  <si>
    <t>0732</t>
  </si>
  <si>
    <t>0740</t>
  </si>
  <si>
    <t>0741</t>
  </si>
  <si>
    <t>0742</t>
  </si>
  <si>
    <t>0750</t>
  </si>
  <si>
    <t>0760</t>
  </si>
  <si>
    <t>0770</t>
  </si>
  <si>
    <t>0780</t>
  </si>
  <si>
    <t>0821</t>
  </si>
  <si>
    <t>0822</t>
  </si>
  <si>
    <t>0823</t>
  </si>
  <si>
    <t>0830</t>
  </si>
  <si>
    <t>0831</t>
  </si>
  <si>
    <t>0832</t>
  </si>
  <si>
    <t>0833</t>
  </si>
  <si>
    <t>0834</t>
  </si>
  <si>
    <t>0840</t>
  </si>
  <si>
    <t>0841</t>
  </si>
  <si>
    <t>0842</t>
  </si>
  <si>
    <t>0910</t>
  </si>
  <si>
    <t>0911</t>
  </si>
  <si>
    <t>0912</t>
  </si>
  <si>
    <t>0913</t>
  </si>
  <si>
    <t>0914</t>
  </si>
  <si>
    <t>0915</t>
  </si>
  <si>
    <t>0920</t>
  </si>
  <si>
    <t>1010</t>
  </si>
  <si>
    <t>1101</t>
  </si>
  <si>
    <t>1100</t>
  </si>
  <si>
    <t>1102</t>
  </si>
  <si>
    <t>1103</t>
  </si>
  <si>
    <t>1104</t>
  </si>
  <si>
    <t>1105</t>
  </si>
  <si>
    <t>1106</t>
  </si>
  <si>
    <t>1107</t>
  </si>
  <si>
    <t>1108</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</si>
  <si>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</si>
  <si>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</si>
  <si>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</si>
  <si>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</si>
  <si>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</si>
  <si>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</si>
  <si>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</si>
  <si>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</si>
  <si>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</si>
  <si>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</si>
  <si>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</si>
  <si>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</si>
  <si>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</si>
  <si>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</si>
  <si>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</si>
  <si>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</si>
  <si>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</si>
  <si>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</si>
  <si>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</si>
  <si>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</si>
  <si>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</si>
  <si>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1230</t>
  </si>
  <si>
    <t>1231</t>
  </si>
  <si>
    <t>1232</t>
  </si>
  <si>
    <t>1240</t>
  </si>
  <si>
    <t>1241</t>
  </si>
  <si>
    <t>1242</t>
  </si>
  <si>
    <t>1250</t>
  </si>
  <si>
    <t>1260</t>
  </si>
  <si>
    <t>1270</t>
  </si>
  <si>
    <t>1280</t>
  </si>
  <si>
    <t>1290</t>
  </si>
  <si>
    <t>1300</t>
  </si>
  <si>
    <t>1400</t>
  </si>
  <si>
    <t>1401</t>
  </si>
  <si>
    <t>1402</t>
  </si>
  <si>
    <t>1403</t>
  </si>
  <si>
    <t>1404</t>
  </si>
  <si>
    <t>1405</t>
  </si>
  <si>
    <t>1406</t>
  </si>
  <si>
    <t>1407</t>
  </si>
  <si>
    <t>1408</t>
  </si>
  <si>
    <t>1409</t>
  </si>
  <si>
    <t>1410</t>
  </si>
  <si>
    <t>1411</t>
  </si>
  <si>
    <t>1412</t>
  </si>
  <si>
    <t>1413</t>
  </si>
  <si>
    <t>1414</t>
  </si>
  <si>
    <t>1415</t>
  </si>
  <si>
    <t>1416</t>
  </si>
  <si>
    <t>1650</t>
  </si>
  <si>
    <t>1660</t>
  </si>
  <si>
    <t>1700</t>
  </si>
  <si>
    <t>1710</t>
  </si>
  <si>
    <t>1711</t>
  </si>
  <si>
    <t>1712</t>
  </si>
  <si>
    <t>1713</t>
  </si>
  <si>
    <t>1720</t>
  </si>
  <si>
    <t>1721</t>
  </si>
  <si>
    <t>1722</t>
  </si>
  <si>
    <t>1723</t>
  </si>
  <si>
    <t>1724</t>
  </si>
  <si>
    <t>1730</t>
  </si>
  <si>
    <t>1731</t>
  </si>
  <si>
    <t>1732</t>
  </si>
  <si>
    <t>1740</t>
  </si>
  <si>
    <t>1741</t>
  </si>
  <si>
    <t>1742</t>
  </si>
  <si>
    <t>1750</t>
  </si>
  <si>
    <t>1760</t>
  </si>
  <si>
    <t>1770</t>
  </si>
  <si>
    <t>1780</t>
  </si>
  <si>
    <t>1800</t>
  </si>
  <si>
    <t>1810</t>
  </si>
  <si>
    <t>1821</t>
  </si>
  <si>
    <t>1820</t>
  </si>
  <si>
    <t>1822</t>
  </si>
  <si>
    <t>1823</t>
  </si>
  <si>
    <t>1830</t>
  </si>
  <si>
    <t>1831</t>
  </si>
  <si>
    <t>1832</t>
  </si>
  <si>
    <t>1833</t>
  </si>
  <si>
    <t>1834</t>
  </si>
  <si>
    <t>1840</t>
  </si>
  <si>
    <t>1841</t>
  </si>
  <si>
    <t>s055.01541 = s055.01521 + s055.01522 + s055.01523 + s055.01524 + s055.01525 + s055.01526 + s055.01527 + s055.01528 + s055.01529 + s055.01530 + s055.01531 + s055.01532 + s055.01533 + s055.01534 + s055.01535 + s055.01536 + s055.01537 + s055.01538 + s055.01539 + s055.01540</t>
  </si>
  <si>
    <t>s055.01562 = s055.01542 + s055.01543 + s055.01544 + s055.01545 + s055.01546 + s055.01547 + s055.01548 + s055.01549 + s055.01550 + s055.01551 + s055.01552 + s055.01553 + s055.01554 + s055.01555 + s055.01556 + s055.01557 + s055.01558 + s055.01559 + s055.01560 + s055.01561</t>
  </si>
  <si>
    <t>s055.01583 = s055.01563 + s055.01564 + s055.01565 + s055.01566 + s055.01567 + s055.01568 + s055.01569 + s055.01570 + s055.01571 + s055.01572 + s055.01573 + s055.01574 + s055.01575 + s055.01576 + s055.01577 + s055.01578 + s055.01579 + s055.01580 + s055.01581 + s055.01582</t>
  </si>
  <si>
    <t>(C) Determinada por el cociente entre la  de: el importe total de recuperaciones de impagados de principal de activos clasificados como dudosos, más el importe de principal pendiente de reembolso de los activos que salen de dudosos por las recuperaciones de principal producidas en el período, dividido por el importe de principal pendiente de reembolso de los activos clasificados como dudosos antes de las recuperaciones.</t>
  </si>
  <si>
    <t>x</t>
  </si>
  <si>
    <t xml:space="preserve">    </t>
  </si>
  <si>
    <t>9620</t>
  </si>
  <si>
    <t>1585</t>
  </si>
  <si>
    <t>1586</t>
  </si>
  <si>
    <t>1587</t>
  </si>
  <si>
    <t>1588</t>
  </si>
  <si>
    <t>1589</t>
  </si>
  <si>
    <t>1590</t>
  </si>
  <si>
    <t>1591</t>
  </si>
  <si>
    <t>1592</t>
  </si>
  <si>
    <t>1593</t>
  </si>
  <si>
    <t>1594</t>
  </si>
  <si>
    <t>1595</t>
  </si>
  <si>
    <t>1596</t>
  </si>
  <si>
    <t>1597</t>
  </si>
  <si>
    <t>1598</t>
  </si>
  <si>
    <t>1599</t>
  </si>
  <si>
    <t>1601</t>
  </si>
  <si>
    <t>1602</t>
  </si>
  <si>
    <t>1603</t>
  </si>
  <si>
    <t>1604</t>
  </si>
  <si>
    <t>1605</t>
  </si>
  <si>
    <t>1606</t>
  </si>
  <si>
    <t>1607</t>
  </si>
  <si>
    <t>1608</t>
  </si>
  <si>
    <t>1609</t>
  </si>
  <si>
    <t>1611</t>
  </si>
  <si>
    <t>1612</t>
  </si>
  <si>
    <t>1613</t>
  </si>
  <si>
    <t>1614</t>
  </si>
  <si>
    <t>1615</t>
  </si>
  <si>
    <t>1616</t>
  </si>
  <si>
    <t>1617</t>
  </si>
  <si>
    <t>1618</t>
  </si>
  <si>
    <t>1619</t>
  </si>
  <si>
    <t>1621</t>
  </si>
  <si>
    <t>1622</t>
  </si>
  <si>
    <t>1623</t>
  </si>
  <si>
    <t>1624</t>
  </si>
  <si>
    <t>1625</t>
  </si>
  <si>
    <t>0579</t>
  </si>
  <si>
    <t>0629</t>
  </si>
  <si>
    <t>Situación actual</t>
  </si>
  <si>
    <t>Préstamos a promotores</t>
  </si>
  <si>
    <t>Créditos AAPP</t>
  </si>
  <si>
    <t>Cuentas a cobrar</t>
  </si>
  <si>
    <t>Otros</t>
  </si>
  <si>
    <t>II. Activos por impuesto diferido</t>
  </si>
  <si>
    <t>1. Tesorería</t>
  </si>
  <si>
    <t>2. Otros activos líquidos equivalentes</t>
  </si>
  <si>
    <t xml:space="preserve">TOTAL ACTIVO </t>
  </si>
  <si>
    <t>1. Obligaciones y otros valores negociables</t>
  </si>
  <si>
    <t>2. Deudas con entidades de crédito</t>
  </si>
  <si>
    <t>4. Otros pasivos financieros</t>
  </si>
  <si>
    <t xml:space="preserve">TOTAL PASIVO </t>
  </si>
  <si>
    <t xml:space="preserve">12. Importe máximo de riesgo cubierto por derivados de crédito u otras garantías financieras adquiridas </t>
  </si>
  <si>
    <t xml:space="preserve">4. Derivados </t>
  </si>
  <si>
    <t>2. Otros</t>
  </si>
  <si>
    <t xml:space="preserve">3. Derivados </t>
  </si>
  <si>
    <t>S.01</t>
  </si>
  <si>
    <t>S.02</t>
  </si>
  <si>
    <t>INFORMACION RELATIVA A LOS ACTIVOS CEDIDOS AL FONDO DE TITULIZACION</t>
  </si>
  <si>
    <t>A) ACTIVO NO CORRIENTE</t>
  </si>
  <si>
    <t>11. Impuesto sobre beneficios</t>
  </si>
  <si>
    <t>B) ACTIVO CORRIENTE</t>
  </si>
  <si>
    <t>III. Otros activos no corrientes</t>
  </si>
  <si>
    <t>IV. Activos no corrientes mantenidos para la venta</t>
  </si>
  <si>
    <t>4.1 Derivados de cobertura</t>
  </si>
  <si>
    <t>ACTIVO</t>
  </si>
  <si>
    <t>PASIVO</t>
  </si>
  <si>
    <t>9542</t>
  </si>
  <si>
    <t>9584</t>
  </si>
  <si>
    <t>I. Activos financieros a largo plazo</t>
  </si>
  <si>
    <t>1. Comisiones</t>
  </si>
  <si>
    <t>2.3 Otras deudas con entidades de crédito</t>
  </si>
  <si>
    <t>3.1 Derivados de cobertura</t>
  </si>
  <si>
    <t>1. Acreedores y otras cuentas a pagar</t>
  </si>
  <si>
    <t>2. Obligaciones y otros valores negociables</t>
  </si>
  <si>
    <t>1.1 Comisión sociedad gestora</t>
  </si>
  <si>
    <t xml:space="preserve">2. Intereses y cargas asimilados </t>
  </si>
  <si>
    <t>1. Intereses y rendimientos asimilados</t>
  </si>
  <si>
    <t>s040.07010 = s040.07020 + s040.07021</t>
  </si>
  <si>
    <t>s040.06100 = s040.06010 + s040.06022 + s040.06030 + s040.06040</t>
  </si>
  <si>
    <t>s040.07100 = s040.07010 + s040.07022 + s040.07030 + s040.07040</t>
  </si>
  <si>
    <t>s040.06110 = s040.06120 + s040.06121</t>
  </si>
  <si>
    <t>s040.07110 = s040.07120 + s040.07121</t>
  </si>
  <si>
    <t>s040.06200 = s040.06110 + s040.06122 + s040.06130 + s040.06140</t>
  </si>
  <si>
    <t>s040.07200 = s040.07110 + s040.07122 + s040.07130 + s040.07140</t>
  </si>
  <si>
    <t>s040.06310 = s040.06320 + s040.06321</t>
  </si>
  <si>
    <t>s040.07310 = s040.07320 + s040.07321</t>
  </si>
  <si>
    <t>s040.06400 = s040.06310 + s040.06322 + s040.06330</t>
  </si>
  <si>
    <t>s040.07400 = s040.07310 + s040.07322 + s040.07330</t>
  </si>
  <si>
    <t>s040.06500 = s040.06100 + s040.06200 + s040.06400</t>
  </si>
  <si>
    <t>s040.07500 = s040.07100 + s040.07200 + s040.07400</t>
  </si>
  <si>
    <t>s051.00204 = s051.00050</t>
  </si>
  <si>
    <t>s051.00214 = s051.00110</t>
  </si>
  <si>
    <t>s051.00849 = s051.00829 / s051.00839</t>
  </si>
  <si>
    <t>s051.00050 = s051.01316</t>
  </si>
  <si>
    <t>s051.00021 = s051.01306</t>
  </si>
  <si>
    <t>s051.00080 = s051.01326</t>
  </si>
  <si>
    <t>s051.00110 = s051.01336</t>
  </si>
  <si>
    <t>s051.00140 = s051.01346</t>
  </si>
  <si>
    <t>s051.00170 = s051.01356</t>
  </si>
  <si>
    <t>1.4 Intereses cobrados de inversiones financieras</t>
  </si>
  <si>
    <t>1.5 Intereses pagados de préstamos y créditos en entidades de crédito</t>
  </si>
  <si>
    <t>(**) Sólo se cumplimentará en los supuestos establecidos en el apartado B del Anejo III de esta Circular.</t>
  </si>
  <si>
    <t>Sí</t>
  </si>
  <si>
    <t>No</t>
  </si>
  <si>
    <t>Primer Semestre</t>
  </si>
  <si>
    <t>Segundo Semestre</t>
  </si>
  <si>
    <t>9999</t>
  </si>
  <si>
    <t>A.I.G. FINANZAS S.A. E.F.C.</t>
  </si>
  <si>
    <t>AHORRO CORPORACIÓN FINANCIERA,S.V.,S.A.</t>
  </si>
  <si>
    <t>AISCONDEL, S.A.</t>
  </si>
  <si>
    <t>ALLFUNDS BANK, S.A.</t>
  </si>
  <si>
    <t>ALTAE BANCO, S.A.</t>
  </si>
  <si>
    <t>ARAGONESAS INTUSTRIAS Y ENERGÍA, S.A.</t>
  </si>
  <si>
    <t>ARESBANK, S.A.</t>
  </si>
  <si>
    <t>BANCA MARCH, S.A.</t>
  </si>
  <si>
    <t>BANCA PUEYO, S.A.</t>
  </si>
  <si>
    <t>BANCO ALCALA, S.A.</t>
  </si>
  <si>
    <t>BANCO ALICANTINO DE COMERCIO, S.A.</t>
  </si>
  <si>
    <t>BANCO BANIF, S.A.</t>
  </si>
  <si>
    <t>BANCO BILBAO VIZCAYA ARGENTARIA, S.A.</t>
  </si>
  <si>
    <t>BANCO CAIXA GERAL, S.A.</t>
  </si>
  <si>
    <t>BANCO CAMINOS, S.A.</t>
  </si>
  <si>
    <t>BANCO CETELEM, S.A.</t>
  </si>
  <si>
    <t>BANCO COOPERATIVO ESPAÑOL, S.A.</t>
  </si>
  <si>
    <t>BANCO DE ALBACETE, S.A.</t>
  </si>
  <si>
    <t>BANCO DE DEPOSITOS, S.A.</t>
  </si>
  <si>
    <t>BANCO DE FINANZAS E INVERSIONES, S.A.</t>
  </si>
  <si>
    <t>BANCO DE LA PEQUEÑA Y MEDIANA EMPRESA, S.A.</t>
  </si>
  <si>
    <t>BANCO DE MADRID, S.A.</t>
  </si>
  <si>
    <t>BANCO DE PROMOCION DE NEGOCIOS, S.A.</t>
  </si>
  <si>
    <t>BANCO DE SABADELL, S.A.</t>
  </si>
  <si>
    <t>BANCO DE VALENCIA, S.A.</t>
  </si>
  <si>
    <t>s052.08045 = ele_s052_08045</t>
  </si>
  <si>
    <t>s052.08065 = ele_s052_08065</t>
  </si>
  <si>
    <t>s052.08085 = ele_s052_08085</t>
  </si>
  <si>
    <t>s052.08105 = ele_s052_08105</t>
  </si>
  <si>
    <t>s052.09228 = ele_s052_09228</t>
  </si>
  <si>
    <t>s052.09085 = ele_s052_09085</t>
  </si>
  <si>
    <t>s052.09095 = ele_s052_09095</t>
  </si>
  <si>
    <t>s052.09105 = ele_s052_09105</t>
  </si>
  <si>
    <t>s052.09115 = ele_s052_09115</t>
  </si>
  <si>
    <t>s052.07305 = ele_s052_07305</t>
  </si>
  <si>
    <t>s052.07315 = ele_s052_07315</t>
  </si>
  <si>
    <t>s052.07325 = ele_s052_07325</t>
  </si>
  <si>
    <t>s052.07335 = ele_s052_07335</t>
  </si>
  <si>
    <t>s052.07345 = ele_s052_07345</t>
  </si>
  <si>
    <t>s052.07355 = ele_s052_07355</t>
  </si>
  <si>
    <t>s052.07365 = ele_s052_07365</t>
  </si>
  <si>
    <t>s052.07375 = ele_s052_07375</t>
  </si>
  <si>
    <t>s055.03050 = s052.08005</t>
  </si>
  <si>
    <t>s055.03220 = s052.08085</t>
  </si>
  <si>
    <t>s055.03300 = s052.08105</t>
  </si>
  <si>
    <t>s055.01405 = ele_s055_01405</t>
  </si>
  <si>
    <t>s055.01415 = ele_s055_01415</t>
  </si>
  <si>
    <t>No Reducción del Fondo de Reserva (6)</t>
  </si>
  <si>
    <t>1. Activos Morosos por impagos con antigüedad igual o superior</t>
  </si>
  <si>
    <t>0179</t>
  </si>
  <si>
    <t>0189</t>
  </si>
  <si>
    <r>
      <t>BALANCE</t>
    </r>
    <r>
      <rPr>
        <i/>
        <sz val="8"/>
        <rFont val="Myriad Pro"/>
        <family val="2"/>
      </rPr>
      <t xml:space="preserve"> (euros)</t>
    </r>
  </si>
  <si>
    <r>
      <t>CUENTA DE PÉRDIDAS Y GANANCIAS</t>
    </r>
    <r>
      <rPr>
        <sz val="8"/>
        <rFont val="Myriad Pro"/>
        <family val="2"/>
      </rPr>
      <t xml:space="preserve"> </t>
    </r>
    <r>
      <rPr>
        <i/>
        <sz val="8"/>
        <rFont val="Myriad Pro"/>
        <family val="2"/>
      </rPr>
      <t>(euros)</t>
    </r>
  </si>
  <si>
    <r>
      <t>ESTADO DE FLUJOS DE EFECTIVO</t>
    </r>
    <r>
      <rPr>
        <b/>
        <i/>
        <sz val="8"/>
        <rFont val="Myriad Pro"/>
        <family val="2"/>
      </rPr>
      <t xml:space="preserve"> </t>
    </r>
    <r>
      <rPr>
        <i/>
        <sz val="8"/>
        <rFont val="Myriad Pro"/>
        <family val="2"/>
      </rPr>
      <t>(euros)</t>
    </r>
  </si>
  <si>
    <r>
      <t>INGRESOS Y GASTOS RECONOCIDOS</t>
    </r>
    <r>
      <rPr>
        <i/>
        <sz val="8"/>
        <rFont val="Myriad Pro"/>
        <family val="2"/>
      </rPr>
      <t xml:space="preserve"> (euros)</t>
    </r>
  </si>
  <si>
    <t>(Las cifras relativas a importes se consignarán en euros)</t>
  </si>
  <si>
    <t>(Las cifras relativas a importes se consignarán en euros y se referirán al total de la serie salvo que expresamente se solicite el valor unitario)</t>
  </si>
  <si>
    <r>
      <t xml:space="preserve">INFORMACIÓN SOBRE MEJORAS CREDITICIAS 
</t>
    </r>
    <r>
      <rPr>
        <i/>
        <sz val="8"/>
        <rFont val="Myriad Pro"/>
        <family val="2"/>
      </rPr>
      <t>(Las cifras relativas a importes se consignarán en euros)</t>
    </r>
  </si>
  <si>
    <t>Sector:(1)                              2005</t>
  </si>
  <si>
    <t xml:space="preserve">s051.00204 = s051.00214 - s051.00200 - s051.00201 - s051.00203 </t>
  </si>
  <si>
    <t>s010.01310 = s010.01311 + s010.01312 + s010.01313 + s010.01314 + s010.01315 + s010.01316 + s010.01317 + s010.01318 + s010.01319 + s010.01320</t>
  </si>
  <si>
    <t>s010.00400 = s010.00401 + s010.00402 + s010.00403 + s010.00404 + s010.00405 + s010.00406 + s010.00407 + s010.00408 + s010.00409 + s010.00410 + s010.00411 + s010.00412 + s010.00413 + s010.00414 + s010.00415 + s010.00416 + s010.00417 + s010.00418 + s010.00419 + s010.00420 + s010.00421 + s010.00422 + s010.00423</t>
  </si>
  <si>
    <t>s010.01400 = s010.01401 + s010.01402 + s010.01403 + s010.01404 + s010.01405 + s010.01406 + s010.01407 + s010.01408 + s010.01409 + s010.01410 + s010.01411 + s010.01412 + s010.01413 + s010.01414 + s010.01415 + s010.01416 + s010.01417 + s010.01418 + s010.01419 + s010.01420 + s010.01421 + s010.01422 + s010.01423</t>
  </si>
  <si>
    <t>s010.00430 = s010.00431 + s010.00432</t>
  </si>
  <si>
    <t>s010.01430 = s010.01431 + s010.01432</t>
  </si>
  <si>
    <t>s010.00440 = s010.00441 + s010.00442</t>
  </si>
  <si>
    <t>s010.01440 = s010.01441 + s010.01442</t>
  </si>
  <si>
    <t>s010.00290 = s010.00300 + s010.00310 + s010.00400 + s010.00430 + s010.00440</t>
  </si>
  <si>
    <t>s010.01290 = s010.01300 + s010.01310 + s010.01400 + s010.01430 + s010.01440</t>
  </si>
  <si>
    <t>s010.00450 = s010.00451 + s010.00452</t>
  </si>
  <si>
    <t>s010.01450 = s010.01451 + s010.01452</t>
  </si>
  <si>
    <t>s010.00460 = s010.00461 + s010.00462</t>
  </si>
  <si>
    <t>s010.01460 = s010.01461 + s010.01462</t>
  </si>
  <si>
    <t>s010.00270 = s010.00280 + s010.00290 + s010.00450 + s010.00460</t>
  </si>
  <si>
    <t>s010.01270 = s010.01280 + s010.01290 + s010.01450 + s010.01460</t>
  </si>
  <si>
    <t>s010.00500 = s010.00008 + s010.00270</t>
  </si>
  <si>
    <t>s010.01500 = s010.01008 + s010.01270</t>
  </si>
  <si>
    <t>s010.00710 = s010.00711 + s010.00712 + s010.00713 + s010.00714 + s010.00715</t>
  </si>
  <si>
    <t>No Subordinada</t>
  </si>
  <si>
    <t>Fitch</t>
  </si>
  <si>
    <t>Total ingresos y gastos reconocidos por activos financieros disponibles para la venta</t>
  </si>
  <si>
    <t>2 Cobertura de los flujos de efectivo</t>
  </si>
  <si>
    <t>2.3 Otras reclasificaciones</t>
  </si>
  <si>
    <t>Total ingresos y gastos reconocidos por coberturas contables</t>
  </si>
  <si>
    <t>2.4 Importes repercutidos a la cuenta de pasivo en el período</t>
  </si>
  <si>
    <t>3.1 Importe de otros ingresos/ganancias y gastos/pérdidas reconocidos directemente en el balance en el periodo</t>
  </si>
  <si>
    <t>3.1.1 Importe bruto de las ganancias (pérdidas) por valoración</t>
  </si>
  <si>
    <t>3.1.2 Efecto fiscal</t>
  </si>
  <si>
    <t>3.3 Importes repercutidos a la cuenta de pasivo en el período</t>
  </si>
  <si>
    <t>Total Ingresos y gastos reconocidos por otros ingresos/ganancias</t>
  </si>
  <si>
    <t>TOTAL DE INGRESOS Y GASTOS RECONOCIDOS (1+2+3)</t>
  </si>
  <si>
    <t>3. Otros ingresos/ganancias y gastos/pérdidas reconocidos</t>
  </si>
  <si>
    <t>7.6 Cobros por amortización o venta de inversiones financieras</t>
  </si>
  <si>
    <t>7.7 Cobros de Subvenciones</t>
  </si>
  <si>
    <t>3.1 Recuperaciones de fallidos y otros activos adquiridos</t>
  </si>
  <si>
    <t>0109</t>
  </si>
  <si>
    <t>1.9 Intereses y gastos devengados no vencidos</t>
  </si>
  <si>
    <t>1109</t>
  </si>
  <si>
    <t>1110</t>
  </si>
  <si>
    <t>1.10 Ajustes por operaciones de cobertura</t>
  </si>
  <si>
    <t>0221</t>
  </si>
  <si>
    <t>0222</t>
  </si>
  <si>
    <t>1221</t>
  </si>
  <si>
    <t>1222</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</si>
  <si>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</si>
  <si>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</si>
  <si>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</si>
  <si>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</si>
  <si>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</si>
  <si>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</si>
  <si>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</si>
  <si>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</si>
  <si>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</si>
  <si>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</si>
  <si>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</si>
  <si>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</si>
  <si>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</si>
  <si>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</si>
  <si>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</si>
  <si>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</si>
  <si>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</si>
  <si>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</si>
  <si>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</si>
  <si>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</si>
  <si>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</si>
  <si>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</si>
  <si>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</si>
  <si>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</si>
  <si>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</si>
  <si>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</si>
  <si>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</si>
  <si>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</si>
  <si>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</si>
  <si>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</si>
  <si>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</si>
  <si>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</si>
  <si>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</si>
  <si>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</si>
  <si>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</si>
  <si>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</si>
  <si>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</si>
  <si>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</si>
  <si>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</si>
  <si>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</si>
  <si>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</si>
  <si>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</si>
  <si>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</si>
  <si>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</si>
  <si>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</si>
  <si>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</si>
  <si>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</si>
  <si>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</si>
  <si>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</si>
  <si>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</si>
  <si>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</si>
  <si>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</si>
  <si>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</si>
  <si>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</si>
  <si>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</si>
  <si>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</si>
  <si>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</si>
  <si>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</si>
  <si>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</si>
  <si>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</si>
  <si>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</si>
  <si>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</si>
  <si>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</si>
  <si>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</si>
  <si>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</si>
  <si>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</si>
  <si>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s010.00830 = s010.00831 + s010.00832 + s010.00833 + s010.00834 + s010.00835 + s010.00836</t>
  </si>
  <si>
    <t>s010.01830 = s010.01831 + s010.01832 + s010.01833 + s010.01834 + s010.01835 + s010.01836</t>
  </si>
  <si>
    <t>s010.00840 = s010.00841 + s010.00842</t>
  </si>
  <si>
    <t>s010.01840 = s010.01841 + s010.01842</t>
  </si>
  <si>
    <t>s010.00850 = s010.00851 + s010.00852</t>
  </si>
  <si>
    <t>s010.01850 = s010.01851 + s010.01852</t>
  </si>
  <si>
    <t>s010.00800 = s010.00810 + s010.00820 + s010.00830 + s010.00840 + s010.00850</t>
  </si>
  <si>
    <t>s010.01800 = s010.01810 + s010.01820 + s010.01830 + s010.01840 + s010.01850</t>
  </si>
  <si>
    <t>s010.00910 = s010.00911 + s010.00912 + s010.00913 + s010.00914 + s010.00915 + s010.00916 + s010.00917 + s010.00918</t>
  </si>
  <si>
    <t>s010.01910 = s010.01911 + s010.01912 + s010.01913 + s010.01914 + s010.01915 + s010.01916 + s010.01917 + s010.01918</t>
  </si>
  <si>
    <t>s010.00760 = s010.00770 + s010.00780 + s010.00800 + s010.00900</t>
  </si>
  <si>
    <t>s010.01760 = s010.01770 + s010.01780 + s010.01800 + s010.01900</t>
  </si>
  <si>
    <t>V85437044</t>
  </si>
  <si>
    <t>Santander de Titulizacion S.G.F.T., S.A</t>
  </si>
  <si>
    <t>A80481419</t>
  </si>
  <si>
    <t>ANA MARIA MOLINA</t>
  </si>
  <si>
    <t>RESPONSABLE ADMINISTRACION</t>
  </si>
  <si>
    <t>91 2893298</t>
  </si>
  <si>
    <t>anmolina@gruposantander.com</t>
  </si>
  <si>
    <t>0005</t>
  </si>
  <si>
    <t>0006</t>
  </si>
  <si>
    <t>0007</t>
  </si>
  <si>
    <t>0008</t>
  </si>
  <si>
    <t>0071</t>
  </si>
  <si>
    <t>0072</t>
  </si>
  <si>
    <t>0073</t>
  </si>
  <si>
    <t>0074</t>
  </si>
  <si>
    <t>0075</t>
  </si>
  <si>
    <t>0076</t>
  </si>
  <si>
    <t>0077</t>
  </si>
  <si>
    <t>0091</t>
  </si>
  <si>
    <t>0092</t>
  </si>
  <si>
    <t>0093</t>
  </si>
  <si>
    <t>0094</t>
  </si>
  <si>
    <t>0096</t>
  </si>
  <si>
    <t>0097</t>
  </si>
  <si>
    <t>0128</t>
  </si>
  <si>
    <t>0138</t>
  </si>
  <si>
    <t>0158</t>
  </si>
  <si>
    <t>0168</t>
  </si>
  <si>
    <t>0360</t>
  </si>
  <si>
    <t>0370</t>
  </si>
  <si>
    <t>0423</t>
  </si>
  <si>
    <t>0425</t>
  </si>
  <si>
    <t>0426</t>
  </si>
  <si>
    <t>0427</t>
  </si>
  <si>
    <t>0428</t>
  </si>
  <si>
    <t>0429</t>
  </si>
  <si>
    <t>0433</t>
  </si>
  <si>
    <t>0434</t>
  </si>
  <si>
    <t>0435</t>
  </si>
  <si>
    <t>0436</t>
  </si>
  <si>
    <t>0437</t>
  </si>
  <si>
    <t>0438</t>
  </si>
  <si>
    <t>0439</t>
  </si>
  <si>
    <t>0443</t>
  </si>
  <si>
    <t>0444</t>
  </si>
  <si>
    <t>0445</t>
  </si>
  <si>
    <t>0446</t>
  </si>
  <si>
    <t>0448</t>
  </si>
  <si>
    <t>0453</t>
  </si>
  <si>
    <t>0454</t>
  </si>
  <si>
    <t>0455</t>
  </si>
  <si>
    <t>0456</t>
  </si>
  <si>
    <t>0457</t>
  </si>
  <si>
    <t>0458</t>
  </si>
  <si>
    <t>0459</t>
  </si>
  <si>
    <t>0463</t>
  </si>
  <si>
    <t>0464</t>
  </si>
  <si>
    <t>0465</t>
  </si>
  <si>
    <t>0466</t>
  </si>
  <si>
    <t>0467</t>
  </si>
  <si>
    <t>0468</t>
  </si>
  <si>
    <t>0469</t>
  </si>
  <si>
    <t>0470</t>
  </si>
  <si>
    <t>0471</t>
  </si>
  <si>
    <t>0472</t>
  </si>
  <si>
    <t>0474</t>
  </si>
  <si>
    <t>0475</t>
  </si>
  <si>
    <t>0478</t>
  </si>
  <si>
    <t>0479</t>
  </si>
  <si>
    <t>0480</t>
  </si>
  <si>
    <t>0481</t>
  </si>
  <si>
    <t>0482</t>
  </si>
  <si>
    <t>0483</t>
  </si>
  <si>
    <t>0484</t>
  </si>
  <si>
    <t>0485</t>
  </si>
  <si>
    <t>0486</t>
  </si>
  <si>
    <t>(4) Si en el folleto y escritura de constitución del Fondo se establecen triggers respecto al modo de amortización (prorrata/secuencial) de algunas de las series se indicarán las series afectadas indicando su ISIN, y en su defecto el nombre, el límite contractual establecido, la situación actual del ratio, la situación en la última fecha de pago y la referencia al epígrafe del folleto donde está definido</t>
  </si>
  <si>
    <t>s020.03614 &lt; 0</t>
  </si>
  <si>
    <t>s020.02631 &lt; 0</t>
  </si>
  <si>
    <t>s020.03631 &lt; 0</t>
  </si>
  <si>
    <t>s020.02632 &lt; 0</t>
  </si>
  <si>
    <t>s020.03632 &lt; 0</t>
  </si>
  <si>
    <t>s020.02633 &lt; 0</t>
  </si>
  <si>
    <t>s020.03633 &lt; 0</t>
  </si>
  <si>
    <t>s020.02634 &lt; 0</t>
  </si>
  <si>
    <t>s020.03634 &lt; 0</t>
  </si>
  <si>
    <t>s020.02635 &lt; 0</t>
  </si>
  <si>
    <t>s020.03635 &lt; 0</t>
  </si>
  <si>
    <t>s020.02636 &lt; 0</t>
  </si>
  <si>
    <t>s020.03636 &lt; 0</t>
  </si>
  <si>
    <t>s020.00100 = s020.00110 + s020.00120 + s020.00130</t>
  </si>
  <si>
    <t>s020.01100 = s020.01110 + s020.01120 + s020.01130</t>
  </si>
  <si>
    <t>s020.02100 = s020.02110 + s020.02120 + s020.02130</t>
  </si>
  <si>
    <t>s020.03100 = s020.03110 + s020.03120 + s020.03130</t>
  </si>
  <si>
    <t>s020.00200 = s020.00210 + s020.00220 + s020.00230</t>
  </si>
  <si>
    <t>0487</t>
  </si>
  <si>
    <t>0488</t>
  </si>
  <si>
    <t>0489</t>
  </si>
  <si>
    <t>0490</t>
  </si>
  <si>
    <t>0491</t>
  </si>
  <si>
    <t>0492</t>
  </si>
  <si>
    <t>0493</t>
  </si>
  <si>
    <t>0494</t>
  </si>
  <si>
    <t>0495</t>
  </si>
  <si>
    <t>0496</t>
  </si>
  <si>
    <t>0497</t>
  </si>
  <si>
    <t>0498</t>
  </si>
  <si>
    <t>0501</t>
  </si>
  <si>
    <t>0504</t>
  </si>
  <si>
    <t>0505</t>
  </si>
  <si>
    <t>0506</t>
  </si>
  <si>
    <t>0507</t>
  </si>
  <si>
    <t>0508</t>
  </si>
  <si>
    <t>0509</t>
  </si>
  <si>
    <t>0511</t>
  </si>
  <si>
    <t>0512</t>
  </si>
  <si>
    <t>0513</t>
  </si>
  <si>
    <t>0514</t>
  </si>
  <si>
    <t>0515</t>
  </si>
  <si>
    <t>0516</t>
  </si>
  <si>
    <t>0517</t>
  </si>
  <si>
    <t>0518</t>
  </si>
  <si>
    <t>0519</t>
  </si>
  <si>
    <t>Aaa</t>
  </si>
  <si>
    <t>A2</t>
  </si>
  <si>
    <t>Baa2</t>
  </si>
  <si>
    <t>2009-11-17</t>
  </si>
  <si>
    <t>8025</t>
  </si>
  <si>
    <t>8045</t>
  </si>
  <si>
    <t>8065</t>
  </si>
  <si>
    <t>8085</t>
  </si>
  <si>
    <t>8105</t>
  </si>
  <si>
    <t>9228</t>
  </si>
  <si>
    <t>9085</t>
  </si>
  <si>
    <t>9095</t>
  </si>
  <si>
    <t>9105</t>
  </si>
  <si>
    <t>9115</t>
  </si>
  <si>
    <t>7290</t>
  </si>
  <si>
    <t>7300</t>
  </si>
  <si>
    <t>7310</t>
  </si>
  <si>
    <t>7320</t>
  </si>
  <si>
    <t>7330</t>
  </si>
  <si>
    <t>7340</t>
  </si>
  <si>
    <t>7350</t>
  </si>
  <si>
    <t>7360</t>
  </si>
  <si>
    <t>7370</t>
  </si>
  <si>
    <t>7305</t>
  </si>
  <si>
    <t>7315</t>
  </si>
  <si>
    <t>7325</t>
  </si>
  <si>
    <t>7335</t>
  </si>
  <si>
    <t>7345</t>
  </si>
  <si>
    <t>7355</t>
  </si>
  <si>
    <t>7365</t>
  </si>
  <si>
    <t>7375</t>
  </si>
  <si>
    <t>(2) La gestora deberá indicar si la serie es subordinada o no subordinada. (S=Subordinada; NS: No subordinada)</t>
  </si>
  <si>
    <t>Principal impagado</t>
  </si>
  <si>
    <t xml:space="preserve">(7) Incluye el principal no vencido y todos los importes impagados a la fecha de la declaración. </t>
  </si>
  <si>
    <t>3310</t>
  </si>
  <si>
    <t>3330</t>
  </si>
  <si>
    <t>3350</t>
  </si>
  <si>
    <t>3360</t>
  </si>
  <si>
    <t>3370</t>
  </si>
  <si>
    <t>(3) Entendiendo como no subordinadas aquellas series que en la fecha se encuentren, respecto a las demás, en una posición anterior para el cobro de capital conforme al orden de prelación de pagos.</t>
  </si>
  <si>
    <r>
      <t>Importe pendiente</t>
    </r>
    <r>
      <rPr>
        <sz val="8"/>
        <rFont val="Myriad Pro"/>
        <family val="2"/>
      </rPr>
      <t xml:space="preserve"> (1)</t>
    </r>
  </si>
  <si>
    <r>
      <t>Importe pendiente en Divisa</t>
    </r>
    <r>
      <rPr>
        <sz val="8"/>
        <rFont val="Myriad Pro"/>
        <family val="2"/>
      </rPr>
      <t xml:space="preserve"> (1)</t>
    </r>
  </si>
  <si>
    <r>
      <t xml:space="preserve">Importe pendiente en euros </t>
    </r>
    <r>
      <rPr>
        <sz val="8"/>
        <rFont val="Myriad Pro"/>
        <family val="2"/>
      </rPr>
      <t>(1)</t>
    </r>
  </si>
  <si>
    <t>(5) Si en el folleto y escritura de constitución del Fondo se establecen triggers respecto al diferimiento o postergamiento de intereses de algunas de las series se indicarán las series afectadas indicando su ISIN o nombre, el límite contractual establecido, la situación actual del ratio, la situación en la última fecha de pago y la referencia la epígrafe del folleto donde está definido</t>
  </si>
  <si>
    <t>Situación cierre anual anterior 31/12/xxxx</t>
  </si>
  <si>
    <t>(1) Distribución según el valor de la razón entre el importe pendiente de amortizar de los préstamos con garantía real y la última valoración disponible de tasación de los inmuebles hipotecados, o valor razonable de otras garantías reales, siempre que el valor de las mismas se haya considerado en el momento inicial del Fondo, expresada en porcentaje.</t>
  </si>
  <si>
    <t>(2) En el caso de tipos fijos no se cumplimentará la columna de margen ponderado y se indicará el tipo de interés medio ponderado de los activos a tipo fijo en la columna de "tipo de interés medio ponderado".</t>
  </si>
  <si>
    <t xml:space="preserve">5. Otros ingresos de explotación </t>
  </si>
  <si>
    <t>6. Otros gastos de explotación</t>
  </si>
  <si>
    <t>6.1 Servicios exteriores</t>
  </si>
  <si>
    <t>6.1.1 Servicios de profesionales independientes</t>
  </si>
  <si>
    <t>6.1.2 Servicios bancarios y similares</t>
  </si>
  <si>
    <t xml:space="preserve">6.1.3 Publicidad y propaganda </t>
  </si>
  <si>
    <t>6.1.4 Otros servicios</t>
  </si>
  <si>
    <t>6.2 Tributos</t>
  </si>
  <si>
    <t>6.3 Otros gastos de gestión corriente</t>
  </si>
  <si>
    <t>6.3.1 Comisión de sociedad gestora</t>
  </si>
  <si>
    <t>6.3.2 Comisión administrador</t>
  </si>
  <si>
    <t>7. Deterioro de activos financieros (neto)</t>
  </si>
  <si>
    <t>8. Dotaciones a provisiones (neto)</t>
  </si>
  <si>
    <t>9. Ganancias (pérdidas) en la baja de activos no corrientes en venta</t>
  </si>
  <si>
    <t>1. Valores representativos de deuda</t>
  </si>
  <si>
    <t>1.1 Bancos centrales</t>
  </si>
  <si>
    <t xml:space="preserve">    Capturador Semestrales FTA</t>
  </si>
  <si>
    <t>(1) Importes en años. En caso de ser estimado se indicará en las notas explicativas las hipótesis de la estimación.</t>
  </si>
  <si>
    <t>1.1 Ganancias (pérdidas) por valoración</t>
  </si>
  <si>
    <t>1.1.1 Importe bruto de las ganancias (pérdidas) por valoración</t>
  </si>
  <si>
    <t>1.1.2 Efecto fiscal</t>
  </si>
  <si>
    <t>1.2 Importes transferidos a la cuenta de pérdidas y ganancias</t>
  </si>
  <si>
    <t>1.3 Otras reclasificaciones</t>
  </si>
  <si>
    <t>2.1 Ganancias (pérdidas) por valoración</t>
  </si>
  <si>
    <t>2.1.1 Importe bruto de las ganancias (pérdidas) por valoración</t>
  </si>
  <si>
    <t>2.1.2 Efecto fiscal</t>
  </si>
  <si>
    <t>Divisa / Activos titulizados</t>
  </si>
  <si>
    <t>Divisa / Pasivos emitidos por el Fondo</t>
  </si>
  <si>
    <t>Distribución geográfica activos titulizados</t>
  </si>
  <si>
    <t>2.2 Importes transferidos a la cuenta de pérdidas y ganancias</t>
  </si>
  <si>
    <t>3.2 Importes transferidos a la cuenta de pérdidas y ganancias</t>
  </si>
  <si>
    <t>Certificados de transmisión hipotecaria</t>
  </si>
  <si>
    <t>1 Activos financieros disponibles para la venta</t>
  </si>
  <si>
    <t>1.4 Importes repercutidos a la cuenta de pasivo en el periodo</t>
  </si>
  <si>
    <t>Número de Registro del Fondo</t>
  </si>
  <si>
    <t>NIF del Fondo</t>
  </si>
  <si>
    <t>Fecha de Constitución del Fondo</t>
  </si>
  <si>
    <t>Denominación del Fondo</t>
  </si>
  <si>
    <t>Denominación del Compartimento</t>
  </si>
  <si>
    <t>Número de Registro del Compartimento</t>
  </si>
  <si>
    <t>Denominación de la Gestora</t>
  </si>
  <si>
    <t>NIF de la Gestora</t>
  </si>
  <si>
    <t>Estados Agregados</t>
  </si>
  <si>
    <t>10. Repercusión de pérdidas (ganancias)</t>
  </si>
  <si>
    <t>Periodo actual
xx/xx/xxxx</t>
  </si>
  <si>
    <t>Periodo anterior
xx/xx/xxxx</t>
  </si>
  <si>
    <t>0010</t>
  </si>
  <si>
    <t>0020</t>
  </si>
  <si>
    <t>0030</t>
  </si>
  <si>
    <t>0040</t>
  </si>
  <si>
    <t>0100</t>
  </si>
  <si>
    <t>0200</t>
  </si>
  <si>
    <t>0230</t>
  </si>
  <si>
    <t>1.5 Comisión variable - resultados no realizados</t>
  </si>
  <si>
    <t>1.7 Correciones de valor por repercusión de pérdidas (-)</t>
  </si>
  <si>
    <t>1.8 Otras comisiones</t>
  </si>
  <si>
    <t>1.6 Otras comisiones del cedente</t>
  </si>
  <si>
    <t>1918</t>
  </si>
  <si>
    <t>3.2 Certificados de transmisión hipotecaria</t>
  </si>
  <si>
    <t>Contraparte de la Línea de Liquidez</t>
  </si>
  <si>
    <t>Entidad Avalista</t>
  </si>
  <si>
    <t>Contraparte del derivado de crédito</t>
  </si>
  <si>
    <t>Cuadro de texto libre</t>
  </si>
  <si>
    <t>2.20 Activos dudosos</t>
  </si>
  <si>
    <t>2.21 Correciones de valor por deterioro de activos (-)</t>
  </si>
  <si>
    <t>2.22 Intereses y gastos devengados no vencidos</t>
  </si>
  <si>
    <t>2.23 Ajustes por operaciones de cobertura</t>
  </si>
  <si>
    <t>0223</t>
  </si>
  <si>
    <t>3.7 Préstamos a empresas</t>
  </si>
  <si>
    <t>3.9 Cédulas territoriales</t>
  </si>
  <si>
    <t>3.10 Bonos de Tesorería</t>
  </si>
  <si>
    <t>3.11 Deuda Subordinada</t>
  </si>
  <si>
    <t>3.12 Créditos AAPP</t>
  </si>
  <si>
    <t>3.14 Préstamos automoción</t>
  </si>
  <si>
    <t>3.15 Arrendamiento financiero</t>
  </si>
  <si>
    <t>3.16 Cuentas a cobrar</t>
  </si>
  <si>
    <t>3.17 Derechos de crédito futuros</t>
  </si>
  <si>
    <t>(3) Cumplimentar con la última valoración disponible de tasación del inmueble o valor razonable de la garantía real (acciones o deuda pignoradas etc) si el valor de las mismas se ha considerado en el momento inicial del Fondo.</t>
  </si>
  <si>
    <t>Importe pendiente cierre del periodo (2)</t>
  </si>
  <si>
    <t>Tasa amortización anticipada efectiva del periodo</t>
  </si>
  <si>
    <t>CUADRO G</t>
  </si>
  <si>
    <t>(1) Índiquese denominación del sector con mayor concentración</t>
  </si>
  <si>
    <t>(2) Incluir código CNAE con dos niveles de agregación.</t>
  </si>
  <si>
    <t>(1) Los intervalos se entenderán excluido el incio del mismo e incluido el final (p.e. Entre 1 y 2 años: superior a 1 año y menor o igual a 2 años)</t>
  </si>
  <si>
    <t>A) PASIVO NO CORRIENTE</t>
  </si>
  <si>
    <t>B) PASIVO CORRIENTE</t>
  </si>
  <si>
    <t>I. Provisiones a largo plazo</t>
  </si>
  <si>
    <t>II. Pasivos financieros a largo plazo</t>
  </si>
  <si>
    <t>III. Pasivos por impuesto diferido</t>
  </si>
  <si>
    <t>IV. Pasivos vinculados con activos no corrientes mantenidos para la venta</t>
  </si>
  <si>
    <t>V. Provisiones a corto plazo</t>
  </si>
  <si>
    <t>VI. Pasivos financieros a corto plazo</t>
  </si>
  <si>
    <t>VII. Ajustes por periodificaciones</t>
  </si>
  <si>
    <t>VIII. Activos financieros disponibles para la venta</t>
  </si>
  <si>
    <t>IX. Coberturas de flujos de efectivo</t>
  </si>
  <si>
    <t>X. Otros ingresos/ganancias y gastos/pérdidas reconocidos</t>
  </si>
  <si>
    <t>XI. Gastos de constitución en transición</t>
  </si>
  <si>
    <t>1930</t>
  </si>
  <si>
    <t>1940</t>
  </si>
  <si>
    <t>1950</t>
  </si>
  <si>
    <t>1960</t>
  </si>
  <si>
    <t>1970</t>
  </si>
  <si>
    <t>(1) Entendiendo como importe pendiente el importe de principal pendiente de reembolso.</t>
  </si>
  <si>
    <t>Denominación 
serie</t>
  </si>
  <si>
    <t>s010.00500 = s010.01000</t>
  </si>
  <si>
    <t>s010.01500 = s010.02000</t>
  </si>
  <si>
    <t>s010.00940 = s010.01940 + s040.06040</t>
  </si>
  <si>
    <t>s010.00950 = s010.01940 + s040.06140</t>
  </si>
  <si>
    <t>s010.00108 &lt; 0</t>
  </si>
  <si>
    <t>s010.01108 &lt; 0</t>
  </si>
  <si>
    <t>s010.00221 &lt; 0</t>
  </si>
  <si>
    <t>s010.01221 &lt; 0</t>
  </si>
  <si>
    <t>s010.00100 = s010.00101 + s010.00102 + s010.00103 + s010.00104 + s010.00105 + s010.00106 + s010.00107 + s010.00108 + s010.00109 + s010.00110</t>
  </si>
  <si>
    <t>% Actual</t>
  </si>
  <si>
    <t>Referencia Folleto</t>
  </si>
  <si>
    <t>0560</t>
  </si>
  <si>
    <t>0566</t>
  </si>
  <si>
    <t>(3) En caso de existir triggers adicionales a los recogidos en la presente tabla se indicarán su nombre o concepto debajo de OTROS TRIGGERS. Si los triggers recogidos expresamente en la tabla no están previstos en el Fondo, no se cumplimentarán</t>
  </si>
  <si>
    <t>(6) Si en el folleto y escritura de constitución del Fondo se establecen triggers respecto a la no reducción del fondo de reserva se indicará el límite contractual establecido, la situación actual del ratio, la situación en la última fecha de pago y la referencia al epígrafe del folleto donde está definido.</t>
  </si>
  <si>
    <t>3.21 Correciones de valor por deterioro de activos (-)</t>
  </si>
  <si>
    <t>3.22 Intereses y gastos devengados no vencidos</t>
  </si>
  <si>
    <t>3.23 Ajustes por operaciones de cobertura</t>
  </si>
  <si>
    <t>3.4 Cédulas Hipotecarias</t>
  </si>
  <si>
    <t>3.5 Préstamos a promotores</t>
  </si>
  <si>
    <t>Cédulas hipotecarias</t>
  </si>
  <si>
    <t>0123</t>
  </si>
  <si>
    <t>0153</t>
  </si>
  <si>
    <t>Antigüedad</t>
  </si>
  <si>
    <t>Antigüedad media ponderada</t>
  </si>
  <si>
    <t>0621</t>
  </si>
  <si>
    <t>0622</t>
  </si>
  <si>
    <t>0623</t>
  </si>
  <si>
    <t>0624</t>
  </si>
  <si>
    <t>0625</t>
  </si>
  <si>
    <t>0626</t>
  </si>
  <si>
    <t>Años</t>
  </si>
  <si>
    <t>Certificados de transmisión de hipoteca</t>
  </si>
  <si>
    <t>Cédulas Hipotecarias</t>
  </si>
  <si>
    <t>Vida residual media ponderada (años)</t>
  </si>
  <si>
    <t>1307</t>
  </si>
  <si>
    <t>1327</t>
  </si>
  <si>
    <t>1347</t>
  </si>
  <si>
    <t>0716</t>
  </si>
  <si>
    <t>0717</t>
  </si>
  <si>
    <t>0718</t>
  </si>
  <si>
    <t>0719</t>
  </si>
  <si>
    <t>0727</t>
  </si>
  <si>
    <t>0728</t>
  </si>
  <si>
    <t>0729</t>
  </si>
  <si>
    <t>0733</t>
  </si>
  <si>
    <t>0734</t>
  </si>
  <si>
    <t>0735</t>
  </si>
  <si>
    <t>0736</t>
  </si>
  <si>
    <t>0737</t>
  </si>
  <si>
    <t>0738</t>
  </si>
  <si>
    <t>0739</t>
  </si>
  <si>
    <t>s051.01326 = s051.01320 + s051.01321 + s051.01322 + s051.01323 + s051.01324 + s051.01325</t>
  </si>
  <si>
    <t>s051.00805 = s051.00785 + s051.00795</t>
  </si>
  <si>
    <t>s051.00806 = s051.00786 + s051.00796</t>
  </si>
  <si>
    <t>s051.00807 = s051.00787 + s051.00797</t>
  </si>
  <si>
    <t>s051.00808 = s051.00788 + s051.00798</t>
  </si>
  <si>
    <t>s051.00819 = s051.00810 + s051.00811 + s051.00812 + s051.00813 + s051.00814 + s051.00815 + s051.00816 + s051.00817 + s051.00818</t>
  </si>
  <si>
    <t>s051.00820 = s051.00800 + s051.00810</t>
  </si>
  <si>
    <t>s051.00821 = s051.00801 + s051.00811</t>
  </si>
  <si>
    <t>s051.00822 = s051.00802 + s051.00812</t>
  </si>
  <si>
    <t>s051.00823 = s051.00803 + s051.00813</t>
  </si>
  <si>
    <t>s051.00824 = s051.00804 + s051.00814</t>
  </si>
  <si>
    <t>s051.00825 = s051.00805 + s051.00815</t>
  </si>
  <si>
    <t>s051.00826 = s051.00806 + s051.00816</t>
  </si>
  <si>
    <t>s051.00827 = s051.00807 + s051.00817</t>
  </si>
  <si>
    <t>s051.00828 = s051.00808 + s051.00818</t>
  </si>
  <si>
    <t>s051.00829 = s051.00820 + s051.00821 + s051.00822 + s051.00823 + s051.00824 + s051.00825 + s051.00826 + s051.00827 + s051.00828</t>
  </si>
  <si>
    <t>s051.00839 = s051.00830 + s051.00831 + s051.00832 + s051.00833 + s051.00834 + s051.00835 + s051.00836 + s051.00837 + s051.00838</t>
  </si>
  <si>
    <t>s051.01306 = s051.01300 + s051.01301 + s051.01302 + s051.01303 + s051.01304 + s051.01305</t>
  </si>
  <si>
    <t>s051.01336 = s051.01330 + s051.01331 + s051.01332 + s051.01333 + s051.01334 + s051.01335</t>
  </si>
  <si>
    <t>s051.01346 = s051.01340 + s051.01341 + s051.01342 + s051.01343 + s051.01344 + s051.01345</t>
  </si>
  <si>
    <t>s051.01356 = s051.01350 + s051.01351 + s051.01352 + s051.01353 + s051.01354 + s051.01355</t>
  </si>
  <si>
    <t>s052.09115 = s052.08025</t>
  </si>
  <si>
    <t>s052.07315 = s052.07355 + s052.07305</t>
  </si>
  <si>
    <t>s052.07335 = s052.07375 + s052.07325</t>
  </si>
  <si>
    <t>s055.03160 = s052.08025</t>
  </si>
  <si>
    <t>s055.00419 = s055.00400 + s055.00401 + s055.00402 + s055.00403 + s055.00404 + s055.00405 + s055.00406 + s055.00407 + s055.00408 + s055.00409 + s055.00410 + s055.00411 + s055.00412 + s055.00413 + s055.00414 + s055.00415 + s055.00416 + s055.00417 + s055.00418</t>
  </si>
  <si>
    <t>s055.00425 = s055.00419 + s055.00420 + s055.00422</t>
  </si>
  <si>
    <t>s055.00445 = s055.00426 + s055.00427 + s055.00428 + s055.00429 + s055.00430 + s055.00431 + s055.00432 + s055.00433 + s055.00434 + s055.00435 + s055.00436 + s055.00437 + s055.00438 + s055.00439 + s055.00440 + s055.00441 + s055.00442 + s055.00443 + s055.00444</t>
  </si>
  <si>
    <t>s055.00450 = s055.00445 + s055.00446 + s055.00448</t>
  </si>
  <si>
    <t>s055.00471 = s055.00452 + s055.00453 + s055.00454 + s055.00455 + s055.00456 + s055.00457 + s055.00458 + s055.00459 + s055.00460 + s055.00461 + s055.00462 + s055.00463 + s055.00464 + s055.00465 + s055.00466 + s055.00467 + s055.00468 + s055.00469 + s055.00470</t>
  </si>
  <si>
    <t>s055.00475 = s055.00471 + s055.00472 + s055.00474</t>
  </si>
  <si>
    <t>s055.00497 = s055.00478 + s055.00479 + s055.00480 + s055.00481 + s055.00482 + s055.00483 + s055.00484 + s055.00485 + s055.00486 + s055.00487 + s055.00488 + s055.00489 + s055.00490 + s055.00491 + s055.00492 + s055.00493 + s055.00494 + s055.00495 + s055.00496</t>
  </si>
  <si>
    <t>s055.00501 = s055.00497 + s055.00498 + s055.00500</t>
  </si>
  <si>
    <t>s055.00523 = s055.00504 + s055.00505 + s055.00506 + s055.00507 + s055.00508 + s055.00509 + s055.00510 + s055.00511 + s055.00512 + s055.00513 + s055.00514 + s055.00515 + s055.00516 + s055.00517 + s055.00518 + s055.00519 + s055.00520 + s055.00521 + s055.00522</t>
  </si>
  <si>
    <t>s055.00527 = s055.00523 + s055.00524 + s055.00526</t>
  </si>
  <si>
    <t>s055.00549 = s055.00530 + s055.00531 + s055.00532 + s055.00533 + s055.00534 + s055.00535 + s055.00536 + s055.00537 + s055.00538 + s055.00539 + s055.00540 + s055.00541 + s055.00542 + s055.00543 + s055.00544 + s055.00545 + s055.00546 + s055.00547 + s055.00548</t>
  </si>
  <si>
    <t>s055.00553 = s055.00549 + s055.00550 + s055.00552</t>
  </si>
  <si>
    <t>2010</t>
  </si>
  <si>
    <t>2020</t>
  </si>
  <si>
    <t>2030</t>
  </si>
  <si>
    <t>2040</t>
  </si>
  <si>
    <t>2050</t>
  </si>
  <si>
    <t>2060</t>
  </si>
  <si>
    <t>2070</t>
  </si>
  <si>
    <t>2080</t>
  </si>
  <si>
    <t>3000</t>
  </si>
  <si>
    <t>3010</t>
  </si>
  <si>
    <t>3020</t>
  </si>
  <si>
    <t>3030</t>
  </si>
  <si>
    <t>3040</t>
  </si>
  <si>
    <t>3050</t>
  </si>
  <si>
    <t>3060</t>
  </si>
  <si>
    <t>3070</t>
  </si>
  <si>
    <t>3080</t>
  </si>
  <si>
    <t>3090</t>
  </si>
  <si>
    <t>3110</t>
  </si>
  <si>
    <t>3120</t>
  </si>
  <si>
    <t>3130</t>
  </si>
  <si>
    <t>3140</t>
  </si>
  <si>
    <t>3150</t>
  </si>
  <si>
    <t>3160</t>
  </si>
  <si>
    <t>3170</t>
  </si>
  <si>
    <t>3180</t>
  </si>
  <si>
    <t>3190</t>
  </si>
  <si>
    <t>3200</t>
  </si>
  <si>
    <t>3210</t>
  </si>
  <si>
    <t>3220</t>
  </si>
  <si>
    <t>3230</t>
  </si>
  <si>
    <t>3250</t>
  </si>
  <si>
    <t>3260</t>
  </si>
  <si>
    <t>3270</t>
  </si>
  <si>
    <t>3280</t>
  </si>
  <si>
    <t>3290</t>
  </si>
  <si>
    <t>3300</t>
  </si>
  <si>
    <t>S.05.5</t>
  </si>
  <si>
    <t>Situación actual
xx/xx/xxxx</t>
  </si>
  <si>
    <t>1. Importe del Fondo de Reserva u otras mejoras equivalentes</t>
  </si>
  <si>
    <t>2. Porcentaje que representa el Fondo de Reserva, u otras mejoras equivalentes, sobre el total de activos titulizados</t>
  </si>
  <si>
    <t>0208</t>
  </si>
  <si>
    <t>0209</t>
  </si>
  <si>
    <t>0210</t>
  </si>
  <si>
    <t>0211</t>
  </si>
  <si>
    <t>0212</t>
  </si>
  <si>
    <t>0213</t>
  </si>
  <si>
    <t>0214</t>
  </si>
  <si>
    <t>0215</t>
  </si>
  <si>
    <t>0216</t>
  </si>
  <si>
    <t>0217</t>
  </si>
  <si>
    <t>0218</t>
  </si>
  <si>
    <t>0219</t>
  </si>
  <si>
    <t>0220</t>
  </si>
  <si>
    <t>0300</t>
  </si>
  <si>
    <t>0400</t>
  </si>
  <si>
    <t>0401</t>
  </si>
  <si>
    <t>0402</t>
  </si>
  <si>
    <t>0500</t>
  </si>
  <si>
    <t>0600</t>
  </si>
  <si>
    <t>0700</t>
  </si>
  <si>
    <t>0800</t>
  </si>
  <si>
    <t>0900</t>
  </si>
  <si>
    <t>1000</t>
  </si>
  <si>
    <t>s055.00625 = s055.00620 + s055.00621 + s055.00622 + s055.00623 + s055.00624</t>
  </si>
  <si>
    <t>s055.00636 = s055.00631 + s055.00632 + s055.00633 + s055.00634 + s055.00635</t>
  </si>
  <si>
    <t>s055.01108 = s055.01100 + s055.01101 + s055.01102 + s055.01103 + s055.01104 + s055.01105 + s055.01106 + s055.01107</t>
  </si>
  <si>
    <t>s055.01118 = s055.01110 + s055.01111 + s055.01112 + s055.01113 + s055.01114 + s055.01115 + s055.01116 + s055.01117</t>
  </si>
  <si>
    <t>s055.01128 = s055.01120 + s055.01121 + s055.01122 + s055.01123 + s055.01124 + s055.01125 + s055.01126 + s055.01127</t>
  </si>
  <si>
    <t>s055.01138 = s055.01130 + s055.01131 + s055.01132 + s055.01133 + s055.01134 + s055.01135 + s055.01136 + s055.01137</t>
  </si>
  <si>
    <t>s055.01148 = s055.01140 + s055.01141 + s055.01142 + s055.01143 + s055.01144 + s055.01145 + s055.01146 + s055.01147</t>
  </si>
  <si>
    <t>s055.01158 = s055.01150 + s055.01151 + s055.01152 + s055.01153 + s055.01154 + s055.01155 + s055.01156 + s055.01157</t>
  </si>
  <si>
    <t>s055.01520 = s055.01500 + s055.01501 + s055.01502 + s055.01503 + s055.01504 + s055.01505 + s055.01506 + s055.01507 + s055.01508 + s055.01509 + s055.01510 + s055.01511 + s055.01512 + s055.01513 + s055.01514 + s055.01515 + s055.01516 + s055.01517 + s055.01518 + s055.01519</t>
  </si>
  <si>
    <t>s020.01200 = s020.01210 + s020.01220 + s020.01230</t>
  </si>
  <si>
    <t>s020.02200 = s020.02210 + s020.02220 + s020.02230</t>
  </si>
  <si>
    <t>s020.03200 = s020.03210 + s020.03220 + s020.03230</t>
  </si>
  <si>
    <t>s020.00250 = s020.00100 + s020.00200</t>
  </si>
  <si>
    <t>s020.01250 = s020.01100 + s020.01200</t>
  </si>
  <si>
    <t>s020.02250 = s020.02100 + s020.02200</t>
  </si>
  <si>
    <t>s020.03250 = s020.03100 + s020.03200</t>
  </si>
  <si>
    <t>s020.00300 = s020.00310 + s020.00320 + s020.00330</t>
  </si>
  <si>
    <t>s020.01300 = s020.01310 + s020.01320 + s020.01330</t>
  </si>
  <si>
    <t>s020.02300 = s020.02310 + s020.02320 + s020.02330</t>
  </si>
  <si>
    <t>s020.03300 = s020.03310 + s020.03320 + s020.03330</t>
  </si>
  <si>
    <t>1417</t>
  </si>
  <si>
    <t>1418</t>
  </si>
  <si>
    <t>1.2 Intereses pagados por valores de titulización</t>
  </si>
  <si>
    <t>2.2 Comisiones pagadas por administración de activos titulizados</t>
  </si>
  <si>
    <t>A39000013</t>
  </si>
  <si>
    <t>BANCO SANTANDER</t>
  </si>
  <si>
    <t>.</t>
  </si>
  <si>
    <t>s020.01600 = s020.01610 + s020.01630</t>
  </si>
  <si>
    <t>s020.02600 = s020.02610 + s020.02630</t>
  </si>
  <si>
    <t>s020.03600 = s020.03610 + s020.03630</t>
  </si>
  <si>
    <t>s020.00700 = s020.00710 + s020.00720 + s020.00730 + s020.00740</t>
  </si>
  <si>
    <t>s020.01700 = s020.01710 + s020.01720 + s020.01730 + s020.01740</t>
  </si>
  <si>
    <t>s020.02700 = s020.02710 + s020.02720 + s020.02730 + s020.02740</t>
  </si>
  <si>
    <t>s020.03700 = s020.03710 + s020.03720 + s020.03730 + s020.03740</t>
  </si>
  <si>
    <t>s020.00900 = s020.00100 + s020.00200 + s020.00300 + s020.00400 + s020.00500 + s020.00600 + s020.00700 + s020.00750 + s020.00800 + s020.00850</t>
  </si>
  <si>
    <t>s020.01900 = s020.01100 + s020.01200 + s020.01300 + s020.01400 + s020.01500 + s020.01600 + s020.01700 + s020.01750 + s020.01800 + s020.01850</t>
  </si>
  <si>
    <t>s020.02900 = s020.02100 + s020.02200 + s020.02300 + s020.02400 + s020.02500 + s020.02600 + s020.02700 + s020.02750 + s020.02800 + s020.02850</t>
  </si>
  <si>
    <t>s020.03900 = s020.03100 + s020.03200 + s020.03300 + s020.03400 + s020.03500 + s020.03600 + s020.03700 + s020.03750 + s020.03800 + s020.03850</t>
  </si>
  <si>
    <t>s020.03000 = s020.00900 + s020.00950</t>
  </si>
  <si>
    <t>s020.04000 = s020.01900 + s020.01950</t>
  </si>
  <si>
    <t>s020.05000 = s020.02900 + s020.02950</t>
  </si>
  <si>
    <t>s020.06000 = s020.03900 + s020.03950</t>
  </si>
  <si>
    <t>3231</t>
  </si>
  <si>
    <t>3232</t>
  </si>
  <si>
    <t>3233</t>
  </si>
  <si>
    <t>1160</t>
  </si>
  <si>
    <t xml:space="preserve">                            </t>
  </si>
  <si>
    <t>Información sobre contrapartes de las mejoras crediticias</t>
  </si>
  <si>
    <t>6.3.7 Otros gastos</t>
  </si>
  <si>
    <t>0636</t>
  </si>
  <si>
    <t>0637</t>
  </si>
  <si>
    <t>6.3.3 Comisión del agente financiero/pagos</t>
  </si>
  <si>
    <t>6.3.4 Comisión variable - resultados realizados</t>
  </si>
  <si>
    <t>6.3.5 Comisión variable - resultados no realizados</t>
  </si>
  <si>
    <t>Diez primeros deudores/emisores con más concentración</t>
  </si>
  <si>
    <t>Escenario inicial</t>
  </si>
  <si>
    <t>0994</t>
  </si>
  <si>
    <t>Base de cálculo de intereses</t>
  </si>
  <si>
    <t>0190</t>
  </si>
  <si>
    <t>0995</t>
  </si>
  <si>
    <t>0996</t>
  </si>
  <si>
    <t>0997</t>
  </si>
  <si>
    <t>0998</t>
  </si>
  <si>
    <t>0999</t>
  </si>
  <si>
    <t>1001</t>
  </si>
  <si>
    <t>1002</t>
  </si>
  <si>
    <t>1003</t>
  </si>
  <si>
    <t>1004</t>
  </si>
  <si>
    <t>1005</t>
  </si>
  <si>
    <t>1006</t>
  </si>
  <si>
    <t>1007</t>
  </si>
  <si>
    <t>1008</t>
  </si>
  <si>
    <t>1009</t>
  </si>
  <si>
    <t>1011</t>
  </si>
  <si>
    <t>1012</t>
  </si>
  <si>
    <t>1013</t>
  </si>
  <si>
    <t>1014</t>
  </si>
  <si>
    <t>1015</t>
  </si>
  <si>
    <t>1016</t>
  </si>
  <si>
    <t>1017</t>
  </si>
  <si>
    <t>s055.01604 = s055.01584 + s055.01585 + s055.01586 + s055.01587 + s055.01588 + s055.01589 + s055.01590 + s055.01591 + s055.01592 + s055.01593 + s055.01594 + s055.01595 + s055.01596 + s055.01597 + s055.01598 + s055.01599 + s055.01600 + s055.01601 + s055.01602 + s055.01603</t>
  </si>
  <si>
    <t>s055.01625 = s055.01605 + s055.01606 + s055.01607 + s055.01608 + s055.01609 + s055.01610 + s055.01611 + s055.01612 + s055.01613 + s055.01614 + s055.01615 + s055.01616 + s055.01617 + s055.01618 + s055.01619 + s055.01620 + s055.01621 + s055.01622 + s055.01623 + s055.01624</t>
  </si>
  <si>
    <t>s055.03050 = s055.03000 + s055.03010 + s055.03020 + s055.03030 + s055.03040</t>
  </si>
  <si>
    <t>s055.03160 = s055.03110 + s055.03120 + s055.03130 + s055.03140 + s055.03150</t>
  </si>
  <si>
    <t>s055.03220 = s055.03170 + s055.03180 + s055.03190 + s055.03200 + s055.03210</t>
  </si>
  <si>
    <t>s055.03300 = s055.03250 + s055.03260 + s055.03270 + s055.03280 + s055.03290</t>
  </si>
  <si>
    <t>s030.08990 = s030.09900</t>
  </si>
  <si>
    <t>s030.08800 = s030.08990 - s030.08900</t>
  </si>
  <si>
    <t>s030.09800 = s030.09990 - s030.09900</t>
  </si>
  <si>
    <t>s030.08990 = s010.00460</t>
  </si>
  <si>
    <t>s030.08120 &lt; 0</t>
  </si>
  <si>
    <t>s030.09120 &lt; 0</t>
  </si>
  <si>
    <t>s030.08150 &lt; 0</t>
  </si>
  <si>
    <t>s030.09150 &lt; 0</t>
  </si>
  <si>
    <t>s030.08200 &lt; 0</t>
  </si>
  <si>
    <t>s030.09200 &lt; 0</t>
  </si>
  <si>
    <t>s030.08210 &lt; 0</t>
  </si>
  <si>
    <t>s030.09210 &lt; 0</t>
  </si>
  <si>
    <t>s030.08220 &lt; 0</t>
  </si>
  <si>
    <t>s030.09220 &lt; 0</t>
  </si>
  <si>
    <t>s030.08230 &lt; 0</t>
  </si>
  <si>
    <t>s030.09230 &lt; 0</t>
  </si>
  <si>
    <t>s030.08240 &lt; 0</t>
  </si>
  <si>
    <t>BANCO ESPAÑOL DE CREDITO, S.A.</t>
  </si>
  <si>
    <t>BANCO ESPIRITO SANTO, S.A., S.E.</t>
  </si>
  <si>
    <t>BANCO ETCHEVERRIA, S.A.</t>
  </si>
  <si>
    <t>BANCO EUROPEO DE FINANZAS, S.A.</t>
  </si>
  <si>
    <t>BANCO FINANTIA SOFINLOC, S.A.</t>
  </si>
  <si>
    <t>BANCO GALLEGO, S.A.</t>
  </si>
  <si>
    <t>BANCO GUIPUZCOANO, S.A.</t>
  </si>
  <si>
    <t>BANCO HALIFAX HISPANIA, S.A.</t>
  </si>
  <si>
    <t>Standard &amp; Poors</t>
  </si>
  <si>
    <t xml:space="preserve">Nº de activos </t>
  </si>
  <si>
    <t>Importe impagado</t>
  </si>
  <si>
    <t>Principal</t>
  </si>
  <si>
    <t>Intereses ordinarios</t>
  </si>
  <si>
    <t>Deuda Total</t>
  </si>
  <si>
    <t>% Deuda / v. Tasación</t>
  </si>
  <si>
    <t>Movimiento de la cartera de activos titulizados / Tasa de amortización anticipada</t>
  </si>
  <si>
    <t>Andalucía</t>
  </si>
  <si>
    <t>Aragón</t>
  </si>
  <si>
    <t>Asturias</t>
  </si>
  <si>
    <t>Baleares</t>
  </si>
  <si>
    <t>Canarias</t>
  </si>
  <si>
    <t>Cantabria</t>
  </si>
  <si>
    <t>Castilla-León</t>
  </si>
  <si>
    <t>Castilla La Mancha</t>
  </si>
  <si>
    <t>Cataluña</t>
  </si>
  <si>
    <t>Extremadura</t>
  </si>
  <si>
    <t>Galicia</t>
  </si>
  <si>
    <t>Madrid</t>
  </si>
  <si>
    <t>Melilla</t>
  </si>
  <si>
    <t>Murcia</t>
  </si>
  <si>
    <t>Navarra</t>
  </si>
  <si>
    <t>La Rioja</t>
  </si>
  <si>
    <t>Comunidad Valenciana</t>
  </si>
  <si>
    <t>País Vasco</t>
  </si>
  <si>
    <t>Ceuta</t>
  </si>
  <si>
    <t>0% - 40%</t>
  </si>
  <si>
    <t>40% - 60%</t>
  </si>
  <si>
    <t>60% - 80%</t>
  </si>
  <si>
    <t>80% - 100%</t>
  </si>
  <si>
    <t>Tipo de interés nominal</t>
  </si>
  <si>
    <t>1% - 1,49%</t>
  </si>
  <si>
    <t>1,5% - 1,99%</t>
  </si>
  <si>
    <t>2% - 2,49%</t>
  </si>
  <si>
    <t>2,5% - 2,99%</t>
  </si>
  <si>
    <t>3% - 3,49%</t>
  </si>
  <si>
    <t>3,5% - 3,99%</t>
  </si>
  <si>
    <t>4% - 4,49%</t>
  </si>
  <si>
    <t>4,5% - 4,99%</t>
  </si>
  <si>
    <t>5% - 5,49%</t>
  </si>
  <si>
    <t>5,5% - 5,99%</t>
  </si>
  <si>
    <t>6% - 6,49%</t>
  </si>
  <si>
    <t>6,5% - 6,99%</t>
  </si>
  <si>
    <t>7% - 7,49%</t>
  </si>
  <si>
    <t>7,5% - 7,99%</t>
  </si>
  <si>
    <t>8% - 8,49%</t>
  </si>
  <si>
    <t>8,5% - 8,99%</t>
  </si>
  <si>
    <t>9% - 9,49%</t>
  </si>
  <si>
    <t>Superior al 10%</t>
  </si>
  <si>
    <t>Inferior al 1%</t>
  </si>
  <si>
    <t>9,5% - 9,99%</t>
  </si>
  <si>
    <t>INFORMACION RELATIVA A LOS PASIVOS EMITIDOS POR EL FONDO</t>
  </si>
  <si>
    <t>CAJA DE AHORROS DE VITORIA Y ALAVA- ARABA ETA GASTEIZKO AURREZKI KUTXA</t>
  </si>
  <si>
    <t>CAJA DE AHORROS DEL MEDITERRANEO</t>
  </si>
  <si>
    <t>CAJA DE AHORROS MUNICIPAL DE BURGOS</t>
  </si>
  <si>
    <t>CAJA DE AHORROS PROVINCIAL SAN FERNANDO DE SEVILLA Y JEREZ</t>
  </si>
  <si>
    <t>CAJA DE AHORROS Y MONTE DE PIEDAD DE AVILA</t>
  </si>
  <si>
    <t>CAJA DE AHORROS Y MONTE DE PIEDAD DE CORDOBA</t>
  </si>
  <si>
    <t>CAJA DE AHORROS Y MONTE DE PIEDAD DE EXTREMADURA</t>
  </si>
  <si>
    <t>CAJA DE AHORROS Y MONTE DE PIEDAD DE GIPUZKOA Y SAN SEBASTIAN</t>
  </si>
  <si>
    <t>CAJA DE AHORROS Y MONTE DE PIEDAD DE LAS BALEARES</t>
  </si>
  <si>
    <t>CAJA DE AHORROS Y MONTE DE PIEDAD DE MADRID</t>
  </si>
  <si>
    <t>CAJA DE AHORROS Y MONTE DE PIEDAD DE NAVARRA</t>
  </si>
  <si>
    <t>CAJA DE AHORROS Y MONTE DE PIEDAD DE ONTINYENT</t>
  </si>
  <si>
    <t>CAJA DE AHORROS Y MONTE DE PIEDAD DE SEGOVIA</t>
  </si>
  <si>
    <t>CAJA DE AHORROS Y MONTE DE PIEDAD DE ZARAGOZA, ARAGON Y RIOJA</t>
  </si>
  <si>
    <t>CAJA DE AHORROS Y MONTE DE PIEDAD DEL CIRCULO CATOLICO DE OBREROS DE BURGOS</t>
  </si>
  <si>
    <t>s010.00310 = s010.00311 + s010.00312 + s010.00313 + s010.00314 + s010.00315 + s010.00316 + s010.00317 + s010.00318 + s010.00319 + s010.00320</t>
  </si>
  <si>
    <t>VII. Efectivo y otros activos líquidos equivalentes</t>
  </si>
  <si>
    <t>Meses
 impago</t>
  </si>
  <si>
    <t>Días
 impago</t>
  </si>
  <si>
    <t xml:space="preserve">4.2 Otros </t>
  </si>
  <si>
    <t>2.2 Series subordinadas</t>
  </si>
  <si>
    <t>2.1 Series no subordinadas</t>
  </si>
  <si>
    <t>CAJA DE AHORROS Y PENSIONES DE BARCELONA</t>
  </si>
  <si>
    <t>CAJA ESPAÑA DE INVERSIONES, CAJA DE AHORROS Y MONTE DE PIEDAD</t>
  </si>
  <si>
    <t>CAJA GENERAL DE AHORROS DE CANARIAS</t>
  </si>
  <si>
    <t>CAJA GENERAL DE AHORROS DE GRANADA</t>
  </si>
  <si>
    <t>CAJA INSULAR DE AHORROS DE CANARIAS</t>
  </si>
  <si>
    <t>CAJA LABORAL POPULAR C.C.</t>
  </si>
  <si>
    <t>CAJA MADRID BOLSA S.V., S.A.</t>
  </si>
  <si>
    <t>CAJA PROVINCIAL DE AHORROS DE JAEN</t>
  </si>
  <si>
    <t>CAJA R. DEL MEDITERRANEO, R.CAJA, S.C.C.</t>
  </si>
  <si>
    <t>CAJAMAR CAJA RURAL, S.C.C.</t>
  </si>
  <si>
    <t>CALYON, SUCURSAL EN ESPAÑA</t>
  </si>
  <si>
    <t>CAMGE FINANCIERA, E.F.C.</t>
  </si>
  <si>
    <t>CITIBANK ESPAÑA, S.A.</t>
  </si>
  <si>
    <t>CLECE</t>
  </si>
  <si>
    <t>CODELAN</t>
  </si>
  <si>
    <t>COFIBER FINANCIERA, E.F.C.,S.A.</t>
  </si>
  <si>
    <t>COLONYA - CAIXA D´ESTALVIS DE POLLENSA</t>
  </si>
  <si>
    <t>COMPAÑÍA SEVILLANA DE ELECTRICIDAD, S.A.</t>
  </si>
  <si>
    <t>CECA</t>
  </si>
  <si>
    <t>CYMI</t>
  </si>
  <si>
    <t>DESARROLLOS EÓLICOS PROMOCIÓN, S.A.U.</t>
  </si>
  <si>
    <t>DEUTSCHE BANK, S.A.</t>
  </si>
  <si>
    <t>DEXIA SABADELL, S.A.</t>
  </si>
  <si>
    <t>DOPSA</t>
  </si>
  <si>
    <t>DRACE</t>
  </si>
  <si>
    <t>EBN BANCO DE NEGOCIOS, S.A.</t>
  </si>
  <si>
    <t>ENDESA, S.A.</t>
  </si>
  <si>
    <t>ERCROS INDUSTRIAL, S.A.U</t>
  </si>
  <si>
    <t>FCE BANK PLC SUCURSAL EN ESPAÑA</t>
  </si>
  <si>
    <t>FINANMADRID EFC</t>
  </si>
  <si>
    <t>FINANZIA, BANCO DE CREDITO, S.A.</t>
  </si>
  <si>
    <t>GENERAL ELECTRIC CAPITAL BANK, S.A.</t>
  </si>
  <si>
    <t>GEOCISA</t>
  </si>
  <si>
    <t>GRUPO DRAGADOS</t>
  </si>
  <si>
    <t>HIPOTEBANSA E.F.C, S.A.</t>
  </si>
  <si>
    <t>HISPAMER SERVICIOS FINANCIEROS, E.F.C., S.A.</t>
  </si>
  <si>
    <t>IBERDROLA, S.A.</t>
  </si>
  <si>
    <t>ING DIRECT N.V. S.E.</t>
  </si>
  <si>
    <t>INSTITUTO DE CREDITO OFICIAL</t>
  </si>
  <si>
    <t>INTERMONEY VALORES, S.V, S.A.</t>
  </si>
  <si>
    <t>IPAR KUTXA RURAL, S. COOP. DE CREDITO</t>
  </si>
  <si>
    <t>LICO LEASING, S.A., E.F.C.</t>
  </si>
  <si>
    <t>LUSOCERAM-EMPREENDIMIENTOS CERAMICOS, S.A.</t>
  </si>
  <si>
    <t>MASA</t>
  </si>
  <si>
    <t>MMC AUTOMOVILES ESPAÑA S.A.</t>
  </si>
  <si>
    <t>MONTE DE PIEDAD Y CAJA DE AHORROS DE HUELVA Y SEVILLA</t>
  </si>
  <si>
    <t>MONTE DE PIEDAD Y CAJA DE AHORROS SAN FERNANDO DE HUELVA, JEREZ Y SEVILLA</t>
  </si>
  <si>
    <t>MONTE DE PIEDAD Y CAJA GENERAL DE AHORROS DE BADAJOZ</t>
  </si>
  <si>
    <t>MONTES DE PIEDAD Y CAJA DE AHORROS DE RONDA, CADIZ, ALMERIA, MALAGA Y ANTEQ</t>
  </si>
  <si>
    <t>PRIVAT BANK DEGROOF, S.A.</t>
  </si>
  <si>
    <t>RBC DEXIA INVESTOR SERVICES ESPAÑA, S.A.</t>
  </si>
  <si>
    <t>SANTANDER CONSUMER FINANCE, S.A.</t>
  </si>
  <si>
    <t>SANTANDER CONSUMER, E.F.C., S.A.</t>
  </si>
  <si>
    <t>SANTANDER INVESTMENT, S.A.</t>
  </si>
  <si>
    <t>SELF TRADE BANK, S.A.</t>
  </si>
  <si>
    <t>SICE</t>
  </si>
  <si>
    <t>SOCIETE GENERALE, SUCURSAL EN ESPAÑA</t>
  </si>
  <si>
    <t>TARCREDIT E.F.C., S.A.</t>
  </si>
  <si>
    <t>TECSA</t>
  </si>
  <si>
    <t>UBS BANK, S.A.</t>
  </si>
  <si>
    <t>UNION DE CRÉDITOS INMOBILIARIOS, E.F.C.,S.A.</t>
  </si>
  <si>
    <t>UNIÓN DE CRÉDITOS PARA LA FINANCIACIÓN MOBILIARIA E INMOBILIARIA, CREDIFIMO</t>
  </si>
  <si>
    <t>UNIÓN FENOSA, S.A.</t>
  </si>
  <si>
    <t>UNOE BANK, S.A.</t>
  </si>
  <si>
    <t>URALITA</t>
  </si>
  <si>
    <t>URBASER</t>
  </si>
  <si>
    <t>s010.01730 = s010.01731 + s010.01732</t>
  </si>
  <si>
    <t>Cuadre</t>
  </si>
  <si>
    <t>Resultado</t>
  </si>
  <si>
    <t>s010.00740 = s010.00741 + s010.00742</t>
  </si>
  <si>
    <t>s010.01740 = s010.01741 + s010.01742</t>
  </si>
  <si>
    <t>s010.00700 = s010.00710 + s010.00720 + s010.00730 + s010.00740</t>
  </si>
  <si>
    <t>s010.01700 = s010.01710 + s010.01720 + s010.01730 + s010.01740</t>
  </si>
  <si>
    <t>s010.00650 = s010.00660 + s010.00700 + s010.00750</t>
  </si>
  <si>
    <t>s010.01650 = s010.01660 + s010.01700 + s010.01750</t>
  </si>
  <si>
    <t>s010.00820 = s010.00821 + s010.00822 + s010.00823 + s010.00824 + s010.00825</t>
  </si>
  <si>
    <t>s010.01820 = s010.01821 + s010.01822 + s010.01823 + s010.01824 + s010.01825</t>
  </si>
  <si>
    <t>CAJA RURAL DE BURGOS, S.C.C.</t>
  </si>
  <si>
    <t>CAJA RURAL DE TERUEL, S.C.C.</t>
  </si>
  <si>
    <t>CAJA RURAL DE ZAMORA, C.C.</t>
  </si>
  <si>
    <t>CAIXA RURAL DE BALEARS, S.C.C.</t>
  </si>
  <si>
    <t>J.P. MORGAN INTERNATIONAL BANK LIMITED,S.E.</t>
  </si>
  <si>
    <t>AIAF</t>
  </si>
  <si>
    <t>RF Privada Madrid</t>
  </si>
  <si>
    <t>RF Privada Barcelona</t>
  </si>
  <si>
    <t>RF Privada Valencia</t>
  </si>
  <si>
    <t>RF Privada Bilbao</t>
  </si>
  <si>
    <t>Otros Mercados RF Europa</t>
  </si>
  <si>
    <t>Otros Mercados RF No Europa</t>
  </si>
  <si>
    <t>0000</t>
  </si>
  <si>
    <t>n/a</t>
  </si>
  <si>
    <t>Subordinada</t>
  </si>
  <si>
    <t>(A) Determinada por el cociente entre el importe de principal pendiente de reembolso de los activos clasificados como dudoso y el resultado de minorar al importe de principal pendiente de reembolso del total de la cartera, el importe de principal pendiente de reembolso de los activos fallidos. La clasificación como dudosos se realizará con arreglo a lo previsto en las Normas 13ª y 23ª</t>
  </si>
  <si>
    <t>(B) Determinada por el cociente entre el importe de principal pendiente de reembolso del total activos clasificados como fallidos y el resultado de minorar al importe de principal pendiente de reembolso del total de la cartera, el importe de principal pendiente de reembolso del total de activos fallidos. Se considera la definición de fallidos recogida en la Circular (no necesariamente coincidentes con la definición de la escritura o folleto, recogidas en el estado 5.4).</t>
  </si>
  <si>
    <t>2.9 Intereses y gastos devengados no vencidos</t>
  </si>
  <si>
    <t>2.10 Ajustes por operaciones de cobertura</t>
  </si>
  <si>
    <t>0319</t>
  </si>
  <si>
    <t>1319</t>
  </si>
  <si>
    <t>1320</t>
  </si>
  <si>
    <t>0421</t>
  </si>
  <si>
    <t>0422</t>
  </si>
  <si>
    <t>1421</t>
  </si>
  <si>
    <t>1422</t>
  </si>
  <si>
    <t>0714</t>
  </si>
  <si>
    <t>0715</t>
  </si>
  <si>
    <t>1.4 Intereses y gastos devengados no vencidos</t>
  </si>
  <si>
    <t>1.5 Ajustes por operaciones de cobertura</t>
  </si>
  <si>
    <t>1714</t>
  </si>
  <si>
    <t>1715</t>
  </si>
  <si>
    <t>2.5 Intereses y gastos devengados no vencidos</t>
  </si>
  <si>
    <t>2.6 Ajustes por operaciones de cobertura</t>
  </si>
  <si>
    <t>0725</t>
  </si>
  <si>
    <t>0726</t>
  </si>
  <si>
    <t>1725</t>
  </si>
  <si>
    <t>1726</t>
  </si>
  <si>
    <t>2.4 Intereses y gastos devengados no vencidos</t>
  </si>
  <si>
    <t>2.5 Ajustes por operaciones de cobertura</t>
  </si>
  <si>
    <t>0824</t>
  </si>
  <si>
    <t>0825</t>
  </si>
  <si>
    <t>1824</t>
  </si>
  <si>
    <t>1825</t>
  </si>
  <si>
    <t>3.5 Intereses y gastos devengados no vencidos</t>
  </si>
  <si>
    <t>3.6 Ajustes por operaciones de cobertura</t>
  </si>
  <si>
    <t>0835</t>
  </si>
  <si>
    <t>0836</t>
  </si>
  <si>
    <t>1835</t>
  </si>
  <si>
    <t>1836</t>
  </si>
  <si>
    <t>0011</t>
  </si>
  <si>
    <t>0012</t>
  </si>
  <si>
    <t>0013</t>
  </si>
  <si>
    <t>0014</t>
  </si>
  <si>
    <t>0015</t>
  </si>
  <si>
    <t>0016</t>
  </si>
  <si>
    <t>0017</t>
  </si>
  <si>
    <t>0031</t>
  </si>
  <si>
    <t>0032</t>
  </si>
  <si>
    <t>0033</t>
  </si>
  <si>
    <t>0034</t>
  </si>
  <si>
    <t>0036</t>
  </si>
  <si>
    <t>0037</t>
  </si>
  <si>
    <t>0041</t>
  </si>
  <si>
    <t>0042</t>
  </si>
  <si>
    <t>0043</t>
  </si>
  <si>
    <t>0044</t>
  </si>
  <si>
    <t>0045</t>
  </si>
  <si>
    <t>0046</t>
  </si>
  <si>
    <t>0047</t>
  </si>
  <si>
    <t>0061</t>
  </si>
  <si>
    <t>0062</t>
  </si>
  <si>
    <t>0063</t>
  </si>
  <si>
    <t>0064</t>
  </si>
  <si>
    <t>0066</t>
  </si>
  <si>
    <t>0067</t>
  </si>
  <si>
    <t>0124</t>
  </si>
  <si>
    <t>0126</t>
  </si>
  <si>
    <t>0127</t>
  </si>
  <si>
    <t>0131</t>
  </si>
  <si>
    <t>0132</t>
  </si>
  <si>
    <t>0133</t>
  </si>
  <si>
    <t>0134</t>
  </si>
  <si>
    <t>0135</t>
  </si>
  <si>
    <t>0136</t>
  </si>
  <si>
    <t>0137</t>
  </si>
  <si>
    <t>0151</t>
  </si>
  <si>
    <t>0152</t>
  </si>
  <si>
    <t>0154</t>
  </si>
  <si>
    <t>0156</t>
  </si>
  <si>
    <t>0157</t>
  </si>
  <si>
    <t>0161</t>
  </si>
  <si>
    <t>0162</t>
  </si>
  <si>
    <t>0163</t>
  </si>
  <si>
    <t>0164</t>
  </si>
  <si>
    <t>0165</t>
  </si>
  <si>
    <t>0166</t>
  </si>
  <si>
    <t>0167</t>
  </si>
  <si>
    <t>0340</t>
  </si>
  <si>
    <t>0001</t>
  </si>
  <si>
    <t>0002</t>
  </si>
  <si>
    <t>0003</t>
  </si>
  <si>
    <t>0004</t>
  </si>
  <si>
    <t>7.1 Cobros por concesiones de préstamos o disposiciones de créditos</t>
  </si>
  <si>
    <t>7.2 Pagos por amortización de préstamos o créditos</t>
  </si>
  <si>
    <t>Situación actual xx/xx/xxxx</t>
  </si>
  <si>
    <t>Situación cierre anual anterior xx/xx/xxxx</t>
  </si>
  <si>
    <t>(1) Entendiendo como importe pendiente el importe de principal pendiente de reembolso</t>
  </si>
  <si>
    <t>(2) Importe del principal pendiente de reembolso de la totalidad de los activos (incluidas las nuevas incorporaciones del periodo) a fecha del informe</t>
  </si>
  <si>
    <t>(1) Estos ratios se referirán exclusivamente a la cartera de activos cedidos al Fondo (presentados en el balance en la partida de "derechos de credito")</t>
  </si>
  <si>
    <t>1419</t>
  </si>
  <si>
    <t>1420</t>
  </si>
  <si>
    <t>1430</t>
  </si>
  <si>
    <t>1431</t>
  </si>
  <si>
    <t>1432</t>
  </si>
  <si>
    <t>1440</t>
  </si>
  <si>
    <t>1441</t>
  </si>
  <si>
    <t>1442</t>
  </si>
  <si>
    <t>1450</t>
  </si>
  <si>
    <t>1451</t>
  </si>
  <si>
    <t>1452</t>
  </si>
  <si>
    <t>1460</t>
  </si>
  <si>
    <t>1461</t>
  </si>
  <si>
    <t>1462</t>
  </si>
  <si>
    <t>1500</t>
  </si>
  <si>
    <t>1600</t>
  </si>
  <si>
    <t>1610</t>
  </si>
  <si>
    <t>1620</t>
  </si>
  <si>
    <t>Importe Impagado acumulado</t>
  </si>
  <si>
    <t xml:space="preserve">(D) Determinada por el cociente entre el importe total de recuperaciones de principal de activos clasificados como fallidos y el importe de principal pendiente de reembolso de activos clasificados como fallidos antes de las recuperaciones. </t>
  </si>
  <si>
    <t>9960</t>
  </si>
  <si>
    <t>9970</t>
  </si>
  <si>
    <t>9980</t>
  </si>
  <si>
    <t>9990</t>
  </si>
  <si>
    <t>9991</t>
  </si>
  <si>
    <t>9993</t>
  </si>
  <si>
    <t>9994</t>
  </si>
  <si>
    <t>9997</t>
  </si>
  <si>
    <t>9998</t>
  </si>
  <si>
    <t>9995</t>
  </si>
  <si>
    <t>1842</t>
  </si>
  <si>
    <t>1850</t>
  </si>
  <si>
    <t>1851</t>
  </si>
  <si>
    <t>1852</t>
  </si>
  <si>
    <t>1900</t>
  </si>
  <si>
    <t>1910</t>
  </si>
  <si>
    <t>1911</t>
  </si>
  <si>
    <t>1912</t>
  </si>
  <si>
    <t>1913</t>
  </si>
  <si>
    <t>1914</t>
  </si>
  <si>
    <t>1915</t>
  </si>
  <si>
    <t>1920</t>
  </si>
  <si>
    <t>2000</t>
  </si>
  <si>
    <t>2. Valores representativos de deuda</t>
  </si>
  <si>
    <t>2.1 Bancos centrales</t>
  </si>
  <si>
    <t>2.2 Administraciones Públicas españolas</t>
  </si>
  <si>
    <t>2.3 Entidades de crédito</t>
  </si>
  <si>
    <t>2.4 Otros sectores residentes</t>
  </si>
  <si>
    <t>2.5 Administraciones Públicas no residentes</t>
  </si>
  <si>
    <t>2.6 Otros sectores no residentes</t>
  </si>
  <si>
    <t>2.7 Activos dudosos</t>
  </si>
  <si>
    <t>2.8 Correciones de valor por deterioro de activos (-)</t>
  </si>
  <si>
    <t>3. Derechos de crédito</t>
  </si>
  <si>
    <t>3.1 Participaciones hipotecarias</t>
  </si>
  <si>
    <t>3.13 Préstamos Consumo</t>
  </si>
  <si>
    <t>5. Otros activos financieros</t>
  </si>
  <si>
    <t>5.1 Garantías financieras</t>
  </si>
  <si>
    <t>5.2 Otros</t>
  </si>
  <si>
    <t>1. Deudores y otras cuentas a cobrar</t>
  </si>
  <si>
    <t>0310</t>
  </si>
  <si>
    <t>0311</t>
  </si>
  <si>
    <t>0312</t>
  </si>
  <si>
    <t>0313</t>
  </si>
  <si>
    <t>0314</t>
  </si>
  <si>
    <t>0315</t>
  </si>
  <si>
    <t>0316</t>
  </si>
  <si>
    <t>0317</t>
  </si>
  <si>
    <t>0318</t>
  </si>
  <si>
    <t>1310</t>
  </si>
  <si>
    <t>1311</t>
  </si>
  <si>
    <t>1312</t>
  </si>
  <si>
    <t>1313</t>
  </si>
  <si>
    <t>1314</t>
  </si>
  <si>
    <t>1315</t>
  </si>
  <si>
    <t>1316</t>
  </si>
  <si>
    <t>1317</t>
  </si>
  <si>
    <t>1318</t>
  </si>
  <si>
    <t>Denominación del Fondo:</t>
  </si>
  <si>
    <t>Denominación del compartimento:</t>
  </si>
  <si>
    <t>Denominación de la gestora:</t>
  </si>
  <si>
    <t>Periodo anterior
31/12/xxxx</t>
  </si>
  <si>
    <t>Acumulado actual
XX/XX/XXXX</t>
  </si>
  <si>
    <t>Acumulado anterior
XX/XX/XXXX</t>
  </si>
  <si>
    <t>0611</t>
  </si>
  <si>
    <t>0612</t>
  </si>
  <si>
    <t>0613</t>
  </si>
  <si>
    <t>0614</t>
  </si>
  <si>
    <t>0631</t>
  </si>
  <si>
    <t>0632</t>
  </si>
  <si>
    <t>0633</t>
  </si>
  <si>
    <t>0634</t>
  </si>
  <si>
    <t>0635</t>
  </si>
  <si>
    <t>0110</t>
  </si>
  <si>
    <t>0120</t>
  </si>
  <si>
    <t>0130</t>
  </si>
  <si>
    <t>3.1 Ajustes de valoración en carteras a VR con cambios en PyG</t>
  </si>
  <si>
    <t>3.2 Activos financieros disponibles para la venta</t>
  </si>
  <si>
    <t>3.3 Otros</t>
  </si>
  <si>
    <t>0320</t>
  </si>
  <si>
    <t>0330</t>
  </si>
  <si>
    <t>0950</t>
  </si>
  <si>
    <t>0140</t>
  </si>
  <si>
    <t>0150</t>
  </si>
  <si>
    <t>0160</t>
  </si>
  <si>
    <t>0520</t>
  </si>
  <si>
    <t>S.04</t>
  </si>
  <si>
    <t>EEUU Dólar - USD</t>
  </si>
  <si>
    <r>
      <t>Importe pendiente activos titulizados / Valor garantía</t>
    </r>
    <r>
      <rPr>
        <sz val="8"/>
        <rFont val="Myriad Pro"/>
        <family val="2"/>
      </rPr>
      <t xml:space="preserve"> (1)</t>
    </r>
  </si>
  <si>
    <r>
      <t>Ratio</t>
    </r>
    <r>
      <rPr>
        <sz val="8"/>
        <rFont val="Celeste-Regular"/>
        <family val="0"/>
      </rPr>
      <t xml:space="preserve"> (2)</t>
    </r>
  </si>
  <si>
    <r>
      <t xml:space="preserve">Concepto </t>
    </r>
    <r>
      <rPr>
        <sz val="8"/>
        <rFont val="Celeste-Regular"/>
        <family val="0"/>
      </rPr>
      <t>(1)</t>
    </r>
  </si>
  <si>
    <r>
      <t xml:space="preserve">TRIGGERS </t>
    </r>
    <r>
      <rPr>
        <sz val="8"/>
        <rFont val="Celeste-Regular"/>
        <family val="0"/>
      </rPr>
      <t>(3)</t>
    </r>
  </si>
  <si>
    <r>
      <t xml:space="preserve">Amortización secuencial: series </t>
    </r>
    <r>
      <rPr>
        <sz val="8"/>
        <rFont val="Celeste-Regular"/>
        <family val="0"/>
      </rPr>
      <t>(4)
0498</t>
    </r>
  </si>
  <si>
    <r>
      <t xml:space="preserve"> Denominación Serie
</t>
    </r>
    <r>
      <rPr>
        <sz val="8"/>
        <rFont val="Celeste-Regular"/>
        <family val="0"/>
      </rPr>
      <t>0499</t>
    </r>
  </si>
  <si>
    <r>
      <t xml:space="preserve">Diferimiento/postergamiento intereses: series </t>
    </r>
    <r>
      <rPr>
        <sz val="8"/>
        <rFont val="Celeste-Regular"/>
        <family val="0"/>
      </rPr>
      <t>(5)
0504</t>
    </r>
  </si>
  <si>
    <r>
      <t xml:space="preserve"> Denominación Serie 
</t>
    </r>
    <r>
      <rPr>
        <sz val="8"/>
        <rFont val="Celeste-Regular"/>
        <family val="0"/>
      </rPr>
      <t>0505</t>
    </r>
  </si>
  <si>
    <r>
      <t xml:space="preserve">OTROS TRIGGERS </t>
    </r>
    <r>
      <rPr>
        <sz val="8"/>
        <rFont val="Celeste-Regular"/>
        <family val="0"/>
      </rPr>
      <t>(3)
0511</t>
    </r>
  </si>
  <si>
    <r>
      <t xml:space="preserve">Serie </t>
    </r>
    <r>
      <rPr>
        <sz val="8"/>
        <rFont val="Myriad Pro"/>
        <family val="2"/>
      </rPr>
      <t>(2)</t>
    </r>
  </si>
  <si>
    <r>
      <t>Vida media de los pasivos</t>
    </r>
    <r>
      <rPr>
        <sz val="8"/>
        <rFont val="Myriad Pro"/>
        <family val="2"/>
      </rPr>
      <t xml:space="preserve"> (1)</t>
    </r>
  </si>
  <si>
    <r>
      <t>Vida media estimada de los pasivos</t>
    </r>
    <r>
      <rPr>
        <sz val="8"/>
        <rFont val="Myriad Pro"/>
        <family val="2"/>
      </rPr>
      <t xml:space="preserve"> (1)</t>
    </r>
  </si>
  <si>
    <r>
      <t>Grado de subordinación</t>
    </r>
    <r>
      <rPr>
        <sz val="8"/>
        <rFont val="Myriad Pro"/>
        <family val="2"/>
      </rPr>
      <t xml:space="preserve"> (2)</t>
    </r>
  </si>
  <si>
    <r>
      <t xml:space="preserve">Índice de referencia </t>
    </r>
    <r>
      <rPr>
        <sz val="8"/>
        <rFont val="Myriad Pro"/>
        <family val="2"/>
      </rPr>
      <t>(3)</t>
    </r>
  </si>
  <si>
    <r>
      <t xml:space="preserve">Margen </t>
    </r>
    <r>
      <rPr>
        <sz val="8"/>
        <rFont val="Myriad Pro"/>
        <family val="2"/>
      </rPr>
      <t xml:space="preserve">(4) </t>
    </r>
  </si>
  <si>
    <r>
      <t xml:space="preserve">Días Acumulados </t>
    </r>
    <r>
      <rPr>
        <sz val="8"/>
        <rFont val="Myriad Pro"/>
        <family val="2"/>
      </rPr>
      <t>(5)</t>
    </r>
  </si>
  <si>
    <r>
      <t xml:space="preserve">Intereses Acumulados </t>
    </r>
    <r>
      <rPr>
        <sz val="8"/>
        <rFont val="Myriad Pro"/>
        <family val="2"/>
      </rPr>
      <t xml:space="preserve">(6) </t>
    </r>
  </si>
  <si>
    <r>
      <t>Intereses impagados</t>
    </r>
    <r>
      <rPr>
        <sz val="8"/>
        <rFont val="Myriad Pro"/>
        <family val="2"/>
      </rPr>
      <t xml:space="preserve"> </t>
    </r>
  </si>
  <si>
    <r>
      <t>Total pendiente</t>
    </r>
    <r>
      <rPr>
        <sz val="8"/>
        <rFont val="Myriad Pro"/>
        <family val="2"/>
      </rPr>
      <t xml:space="preserve"> (7)</t>
    </r>
  </si>
  <si>
    <r>
      <t xml:space="preserve">Fecha final </t>
    </r>
    <r>
      <rPr>
        <sz val="8"/>
        <rFont val="Myriad Pro"/>
        <family val="2"/>
      </rPr>
      <t>(2)</t>
    </r>
  </si>
  <si>
    <r>
      <t>Pagos del periodo</t>
    </r>
    <r>
      <rPr>
        <sz val="8"/>
        <rFont val="Myriad Pro"/>
        <family val="2"/>
      </rPr>
      <t xml:space="preserve"> (3)</t>
    </r>
  </si>
  <si>
    <r>
      <t xml:space="preserve">Pagos acumulados </t>
    </r>
    <r>
      <rPr>
        <sz val="8"/>
        <rFont val="Myriad Pro"/>
        <family val="2"/>
      </rPr>
      <t>(4)</t>
    </r>
  </si>
  <si>
    <r>
      <t>Pagos acumulados</t>
    </r>
    <r>
      <rPr>
        <sz val="8"/>
        <rFont val="Myriad Pro"/>
        <family val="2"/>
      </rPr>
      <t xml:space="preserve"> (4)</t>
    </r>
  </si>
  <si>
    <r>
      <t xml:space="preserve">Agencia de calificación crediticia </t>
    </r>
    <r>
      <rPr>
        <sz val="8"/>
        <rFont val="Myriad Pro"/>
        <family val="2"/>
      </rPr>
      <t>(2)</t>
    </r>
  </si>
  <si>
    <r>
      <t>Total Impagados</t>
    </r>
    <r>
      <rPr>
        <sz val="8"/>
        <rFont val="Myriad Pro"/>
        <family val="2"/>
      </rPr>
      <t xml:space="preserve"> (1)</t>
    </r>
  </si>
  <si>
    <r>
      <t>Valor garantía</t>
    </r>
    <r>
      <rPr>
        <sz val="8"/>
        <rFont val="Myriad Pro"/>
        <family val="2"/>
      </rPr>
      <t xml:space="preserve"> (3)</t>
    </r>
  </si>
  <si>
    <r>
      <t>Impagados con garantía real</t>
    </r>
    <r>
      <rPr>
        <sz val="8"/>
        <rFont val="Myriad Pro"/>
        <family val="2"/>
      </rPr>
      <t xml:space="preserve"> (2)</t>
    </r>
  </si>
  <si>
    <r>
      <t>Ratios de morosidad</t>
    </r>
    <r>
      <rPr>
        <sz val="8"/>
        <rFont val="Myriad Pro"/>
        <family val="2"/>
      </rPr>
      <t xml:space="preserve"> (1)</t>
    </r>
  </si>
  <si>
    <r>
      <t>Tasa de activos dudosos</t>
    </r>
    <r>
      <rPr>
        <sz val="8"/>
        <rFont val="Myriad Pro"/>
        <family val="2"/>
      </rPr>
      <t xml:space="preserve"> (A)</t>
    </r>
  </si>
  <si>
    <r>
      <t>Tasa de fallido</t>
    </r>
    <r>
      <rPr>
        <sz val="8"/>
        <rFont val="Myriad Pro"/>
        <family val="2"/>
      </rPr>
      <t xml:space="preserve"> (B)</t>
    </r>
  </si>
  <si>
    <r>
      <t xml:space="preserve">Tasa de recuperación activos dudosos </t>
    </r>
    <r>
      <rPr>
        <sz val="8"/>
        <rFont val="Myriad Pro"/>
        <family val="2"/>
      </rPr>
      <t>(C)</t>
    </r>
  </si>
  <si>
    <r>
      <t xml:space="preserve">Tasa de recuperación fallidos </t>
    </r>
    <r>
      <rPr>
        <sz val="8"/>
        <rFont val="Myriad Pro"/>
        <family val="2"/>
      </rPr>
      <t>(D)</t>
    </r>
  </si>
  <si>
    <r>
      <t>Vida residual de los activos cedidos al Fondo</t>
    </r>
    <r>
      <rPr>
        <sz val="8"/>
        <rFont val="Myriad Pro"/>
        <family val="2"/>
      </rPr>
      <t xml:space="preserve"> (1)</t>
    </r>
  </si>
  <si>
    <t>Reino Unido Libra - GBP</t>
  </si>
  <si>
    <t>Japón Yen - JPY</t>
  </si>
  <si>
    <t>Euro - EUR</t>
  </si>
  <si>
    <t>Otras</t>
  </si>
  <si>
    <t>CUADRO D</t>
  </si>
  <si>
    <t>CUADRO E</t>
  </si>
  <si>
    <t>CUADRO C</t>
  </si>
  <si>
    <t>CUADRO B</t>
  </si>
  <si>
    <t>CUADRO A</t>
  </si>
  <si>
    <t>CUADRO F</t>
  </si>
  <si>
    <t>Bonos de tesorería</t>
  </si>
  <si>
    <t>Deuda subordinada</t>
  </si>
  <si>
    <t>Préstamos consumo</t>
  </si>
  <si>
    <t>Cuotas arrendamiento financiero</t>
  </si>
  <si>
    <t>100% - 120%</t>
  </si>
  <si>
    <t>120% - 140%</t>
  </si>
  <si>
    <t>140% - 160%</t>
  </si>
  <si>
    <t>superior al 160%</t>
  </si>
  <si>
    <t>Calificación</t>
  </si>
  <si>
    <t>Situación inicial xx/xx/xxxx</t>
  </si>
  <si>
    <t>0050</t>
  </si>
  <si>
    <t>0060</t>
  </si>
  <si>
    <t>0070</t>
  </si>
  <si>
    <t>0080</t>
  </si>
  <si>
    <t>0090</t>
  </si>
  <si>
    <t>0170</t>
  </si>
  <si>
    <t>0180</t>
  </si>
  <si>
    <t>0021</t>
  </si>
  <si>
    <t>0121</t>
  </si>
  <si>
    <t>0122</t>
  </si>
  <si>
    <t>Efectivo o equivalentes al comienzo del periodo</t>
  </si>
  <si>
    <t>Efectivo o equivalentes al final del periodo</t>
  </si>
  <si>
    <t>RESULTADO DEL PERIODO</t>
  </si>
  <si>
    <t>3.2 Pagos de provisiones</t>
  </si>
  <si>
    <t>0916</t>
  </si>
  <si>
    <t>1916</t>
  </si>
  <si>
    <t>0917</t>
  </si>
  <si>
    <t>1917</t>
  </si>
  <si>
    <t>Situación inicial</t>
  </si>
  <si>
    <t>Amortización ordinaria desde el cierre anual anterior</t>
  </si>
  <si>
    <t>Amortización anticipada desde el cierre anual anterior</t>
  </si>
  <si>
    <t>Total importe amortizado acumulado desde el origen del Fondo</t>
  </si>
  <si>
    <t>Importe pendiente de amortización de los nuevos activos incorporados en el período (1)</t>
  </si>
  <si>
    <t xml:space="preserve">6.2 Cobros por amortización de otros activos titulizados </t>
  </si>
  <si>
    <t>De 18 meses a 2 años</t>
  </si>
  <si>
    <t>De 2 a 3 años</t>
  </si>
  <si>
    <t>Escenario inicial xx/xx/xxxx</t>
  </si>
  <si>
    <t xml:space="preserve">OTRA INFORMACION RELATIVA A LOS ACTIVOS CEDIDOS Y PASIVOS </t>
  </si>
  <si>
    <t>Rendimiento índice del periodo</t>
  </si>
  <si>
    <t>Tipo de Fondo (Abierto / Cerrado)</t>
  </si>
  <si>
    <t>TipoFondo</t>
  </si>
  <si>
    <t>Abierto</t>
  </si>
  <si>
    <t>Cerrado</t>
  </si>
  <si>
    <t>Moody's</t>
  </si>
  <si>
    <t>1.1 Valores representativos de deuda</t>
  </si>
  <si>
    <t>1.2 Derechos de crédito</t>
  </si>
  <si>
    <t>4.2 Derivados de negociación</t>
  </si>
  <si>
    <t>2.1 Obligaciones y otros valores negociables</t>
  </si>
  <si>
    <t>A) MARGEN DE INTERESES</t>
  </si>
  <si>
    <t>1.2 Comisión administrador</t>
  </si>
  <si>
    <t>3.2 Derivados de negociación</t>
  </si>
  <si>
    <t>S.03</t>
  </si>
  <si>
    <t>C) INCREMENTO (+) DISMINUCIÓN (-) DE EFECTIVO O EQUIVALENTES</t>
  </si>
  <si>
    <t>1. Flujo de caja neto por intereses de las operaciones</t>
  </si>
  <si>
    <t>2. Comisiones y gastos por servicios financieros pagados por el Fondo</t>
  </si>
  <si>
    <t>3. Otros flujos de caja provenientes de operaciones del Fondo</t>
  </si>
  <si>
    <t>6, Flujos de caja netos por amortizaciones</t>
  </si>
  <si>
    <t>7. Otros flujos provenientes de operaciones del Fondo</t>
  </si>
  <si>
    <t>1.3 Intereses cobrados/pagados netos por operaciones de derivados</t>
  </si>
  <si>
    <t>Periodo</t>
  </si>
  <si>
    <t>Año</t>
  </si>
  <si>
    <t>I. DATOS IDENTIFICATIVOS</t>
  </si>
  <si>
    <t>Datos de la persona/s de contacto a efectos de esta información (*)</t>
  </si>
  <si>
    <t>Nombre</t>
  </si>
  <si>
    <t>Cargo</t>
  </si>
  <si>
    <t>Teléfono de Contacto</t>
  </si>
  <si>
    <t>Email</t>
  </si>
  <si>
    <t>(*) Esta información no se hará pública se requiere de revisión de la información por parte de la CNMV</t>
  </si>
  <si>
    <t>II. INFORMACIÓN COMPLEMENTARIA A LA INFORMACIÓN PERIÓDICA PREVIAMENTE PUBLICADA</t>
  </si>
  <si>
    <t>Explicación de las principales modificaciones respecto a la información periódica previamente publicada (**)</t>
  </si>
  <si>
    <t>0231</t>
  </si>
  <si>
    <t>0232</t>
  </si>
  <si>
    <t>0240</t>
  </si>
  <si>
    <t>0101</t>
  </si>
  <si>
    <t>0102</t>
  </si>
  <si>
    <t>0103</t>
  </si>
  <si>
    <t>0104</t>
  </si>
  <si>
    <t>0105</t>
  </si>
  <si>
    <t>0106</t>
  </si>
  <si>
    <t>0107</t>
  </si>
  <si>
    <t>0108</t>
  </si>
  <si>
    <t>0201</t>
  </si>
  <si>
    <t>0202</t>
  </si>
  <si>
    <t>0203</t>
  </si>
  <si>
    <t>0204</t>
  </si>
  <si>
    <t>0205</t>
  </si>
  <si>
    <t>0206</t>
  </si>
  <si>
    <t>0207</t>
  </si>
  <si>
    <t>Principal pendiente no vencido</t>
  </si>
  <si>
    <t>BANCO INVERSIS, S.A.</t>
  </si>
  <si>
    <t>BANCO LIBERTA, S.A.</t>
  </si>
  <si>
    <t>BANCO OCCIDENTAL, S.A.</t>
  </si>
  <si>
    <t>BANCO PASTOR, S.A.</t>
  </si>
  <si>
    <t>BANCO POPULAR ESPAÑOL, S.A.</t>
  </si>
  <si>
    <t>BANCO SANTANDER, S.A.</t>
  </si>
  <si>
    <t>BANCOFAR, S.A.</t>
  </si>
  <si>
    <t>BANKINTER, S.A.</t>
  </si>
  <si>
    <t>BANKOA, S.A.</t>
  </si>
  <si>
    <t>BANQUE MAROCAINE DU COMMERCE EXTERIEUR INTERNATIONAL, S.A.</t>
  </si>
  <si>
    <t>BANQUE PSA FINANCE S.E.</t>
  </si>
  <si>
    <t>BARCLAYS BANK, S.A.</t>
  </si>
  <si>
    <t>BILBAO BIZKAIA KUTXA, AURREZKI KUTXA ETA BAHITETXEA</t>
  </si>
  <si>
    <t>BNP PARIBAS ESPAÑA, S.A.</t>
  </si>
  <si>
    <t>CAIXA D´ESTALVIS COMARCAL DE MANLLEU</t>
  </si>
  <si>
    <t>CAIXA D´ESTALVIS DE CATALUNYA</t>
  </si>
  <si>
    <t>CAIXA D´ESTALVIS DE GIRONA</t>
  </si>
  <si>
    <t>CAIXA D´ESTALVIS DE MANRESA</t>
  </si>
  <si>
    <t>CAIXA D´ESTALVIS DE SABADELL</t>
  </si>
  <si>
    <t>CAIXA D´ESTALVIS DE TARRAGONA</t>
  </si>
  <si>
    <t>CAIXA D´ESTALVIS DE TERRASSA</t>
  </si>
  <si>
    <t>CAIXA D´ESTALVIS DEL PENEDES</t>
  </si>
  <si>
    <t>CAIXA D´ESTALVIS LAIETANA</t>
  </si>
  <si>
    <t>CAIXA DE AFORROS DE VIGO, OURENSE E PONTEVEDRA</t>
  </si>
  <si>
    <t>CAJA DE AHORRO PROVINCIAL DE GUADALAJARA</t>
  </si>
  <si>
    <t>CAJA DE AHORROS DE ASTURIAS</t>
  </si>
  <si>
    <t>CAJA DE AHORROS DE CASTILLA-LA MANCHA</t>
  </si>
  <si>
    <t>CAJA DE AHORROS DE GALICIA</t>
  </si>
  <si>
    <t>CAJA DE AHORROS DE LA INMACULADA DE ARAGON</t>
  </si>
  <si>
    <t>CAJA DE AHORROS DE LA RIOJA</t>
  </si>
  <si>
    <t>CAJA DE AHORROS DE MURCIA</t>
  </si>
  <si>
    <t>CAJA DE AHORROS DE SALAMANCA Y SORIA</t>
  </si>
  <si>
    <t>CAJA DE AHORROS DE SANTANDER Y CANTABRIA</t>
  </si>
  <si>
    <t>CAJA DE AHORROS DE VALENCIA, CASTELLON Y ALICANTE, BANCAJA</t>
  </si>
  <si>
    <t>s010.01100 = s010.01101 + s010.01102 + s010.01103 + s010.01104 + s010.01105 + s010.01106 + s010.01107 + s010.01108 + s010.01109 + s010.01110</t>
  </si>
  <si>
    <t>S.06</t>
  </si>
  <si>
    <t>NOTAS EXPLICATIVAS</t>
  </si>
  <si>
    <t>INFORME DE AUDITOR</t>
  </si>
  <si>
    <t>Si</t>
  </si>
  <si>
    <t>Lista</t>
  </si>
  <si>
    <t>Campo de Texto: Sólo rellenar en caso de no existir informe de auditor:</t>
  </si>
  <si>
    <t>s052.08005 = ele_s052_08005</t>
  </si>
  <si>
    <t>s052.08025 = ele_s052_08025</t>
  </si>
  <si>
    <t>s010.00200 = s010.00201 + s010.00202 + s010.00203 + s010.00204 + s010.00205 + s010.00206 + s010.00207 + s010.00208 + s010.00209 + s010.00210 + s010.00211 + s010.00212 + s010.00213 + s010.00214 + s010.00215 + s010.00216 + s010.00217 + s010.00218 + s010.00219 + s010.00220 + s010.00221 + s010.00222 + s010.00223</t>
  </si>
  <si>
    <t>s010.01200 = s010.01201 + s010.01202 + s010.01203 + s010.01204 + s010.01205 + s010.01206 + s010.01207 + s010.01208 + s010.01209 + s010.01210 + s010.01211 + s010.01212 + s010.01213 + s010.01214 + s010.01215 + s010.01216 + s010.01217 + s010.01218 + s010.01219 + s010.01220 + s010.01221 + s010.01222 + s010.01223</t>
  </si>
  <si>
    <t>s010.00230 = s010.00231 + s010.00232</t>
  </si>
  <si>
    <t>s010.01230 = s010.01231 + s010.01232</t>
  </si>
  <si>
    <t>s010.00240 = s010.00241 + s010.00242</t>
  </si>
  <si>
    <t>s010.01240 = s010.01241 + s010.01242</t>
  </si>
  <si>
    <t>s010.00010 = s010.00100 + s010.00200 + s010.00230 + s010.00240</t>
  </si>
  <si>
    <t>s010.01010 = s010.01100 + s010.01200 + s010.01230 + s010.01240</t>
  </si>
  <si>
    <t>s010.00008 = s010.00010 + s010.00250 + s010.00260</t>
  </si>
  <si>
    <t>s010.01008 = s010.01010 + s010.01250 + s010.01260</t>
  </si>
  <si>
    <t>0743</t>
  </si>
  <si>
    <t>0744</t>
  </si>
  <si>
    <t>0745</t>
  </si>
  <si>
    <t>0746</t>
  </si>
  <si>
    <t>0747</t>
  </si>
  <si>
    <t>0748</t>
  </si>
  <si>
    <t>0749</t>
  </si>
  <si>
    <t>0751</t>
  </si>
  <si>
    <t>0752</t>
  </si>
  <si>
    <t>0753</t>
  </si>
  <si>
    <t>0754</t>
  </si>
  <si>
    <t>0755</t>
  </si>
  <si>
    <t>0756</t>
  </si>
  <si>
    <t>0757</t>
  </si>
  <si>
    <t>0758</t>
  </si>
  <si>
    <t>0759</t>
  </si>
  <si>
    <t>0771</t>
  </si>
  <si>
    <t>0772</t>
  </si>
  <si>
    <t>0773</t>
  </si>
  <si>
    <t>0774</t>
  </si>
  <si>
    <t>0775</t>
  </si>
  <si>
    <t>0776</t>
  </si>
  <si>
    <t>0777</t>
  </si>
  <si>
    <t>0778</t>
  </si>
  <si>
    <t>0779</t>
  </si>
  <si>
    <t>0781</t>
  </si>
  <si>
    <t>0782</t>
  </si>
  <si>
    <t>0783</t>
  </si>
  <si>
    <t>0784</t>
  </si>
  <si>
    <t>0785</t>
  </si>
  <si>
    <t>0786</t>
  </si>
  <si>
    <t>0787</t>
  </si>
  <si>
    <t>0788</t>
  </si>
  <si>
    <t>0789</t>
  </si>
  <si>
    <t>0790</t>
  </si>
  <si>
    <t>0791</t>
  </si>
  <si>
    <t>0792</t>
  </si>
  <si>
    <t>0793</t>
  </si>
  <si>
    <t>0794</t>
  </si>
  <si>
    <t>0795</t>
  </si>
  <si>
    <t>0796</t>
  </si>
  <si>
    <t>0797</t>
  </si>
  <si>
    <t>0798</t>
  </si>
  <si>
    <t>0799</t>
  </si>
  <si>
    <t>0801</t>
  </si>
  <si>
    <t>0802</t>
  </si>
  <si>
    <t>0803</t>
  </si>
  <si>
    <t>0804</t>
  </si>
  <si>
    <t>0805</t>
  </si>
  <si>
    <t>0806</t>
  </si>
  <si>
    <t>0807</t>
  </si>
  <si>
    <t>0808</t>
  </si>
  <si>
    <t>0809</t>
  </si>
  <si>
    <t>0811</t>
  </si>
  <si>
    <t>0812</t>
  </si>
  <si>
    <t>0813</t>
  </si>
  <si>
    <t>0814</t>
  </si>
  <si>
    <t>0815</t>
  </si>
  <si>
    <t>0816</t>
  </si>
  <si>
    <t>0817</t>
  </si>
  <si>
    <t>0818</t>
  </si>
  <si>
    <t>0819</t>
  </si>
  <si>
    <t>0826</t>
  </si>
  <si>
    <t>0827</t>
  </si>
  <si>
    <t>0828</t>
  </si>
  <si>
    <t>0829</t>
  </si>
  <si>
    <t>0837</t>
  </si>
  <si>
    <t>0838</t>
  </si>
  <si>
    <t>0839</t>
  </si>
  <si>
    <t>0843</t>
  </si>
  <si>
    <t>0844</t>
  </si>
  <si>
    <t>0845</t>
  </si>
  <si>
    <t>0846</t>
  </si>
  <si>
    <t>0847</t>
  </si>
  <si>
    <t>0848</t>
  </si>
  <si>
    <t>0849</t>
  </si>
  <si>
    <t>0853</t>
  </si>
  <si>
    <t xml:space="preserve">Estado agregado: </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</si>
  <si>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</si>
  <si>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</si>
  <si>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</si>
  <si>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</si>
  <si>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</si>
  <si>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</si>
  <si>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</si>
  <si>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</si>
  <si>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</si>
  <si>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</si>
  <si>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</si>
  <si>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</si>
  <si>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</si>
  <si>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</si>
  <si>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</si>
  <si>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</si>
  <si>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</si>
  <si>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</si>
  <si>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</si>
  <si>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</si>
  <si>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</si>
  <si>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</si>
  <si>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</si>
  <si>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</si>
  <si>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</si>
  <si>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</si>
  <si>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</si>
  <si>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</si>
  <si>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</si>
  <si>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</si>
  <si>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</si>
  <si>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s010.01710 = s010.01711 + s010.01712 + s010.01713 + s010.01714 + s010.01715</t>
  </si>
  <si>
    <t>s010.00720 = s010.00721 + s010.00722 + s010.00723 + s010.00724 + s010.00725 + s010.00726</t>
  </si>
  <si>
    <t>s010.01720 = s010.01721 + s010.01722 + s010.01723 + s010.01724 + s010.01725 + s010.01726</t>
  </si>
  <si>
    <t>s010.00730 = s010.00731 + s010.00732</t>
  </si>
  <si>
    <t>0885</t>
  </si>
  <si>
    <t>0886</t>
  </si>
  <si>
    <t>0887</t>
  </si>
  <si>
    <t>0888</t>
  </si>
  <si>
    <t>0889</t>
  </si>
  <si>
    <t>0890</t>
  </si>
  <si>
    <t>0891</t>
  </si>
  <si>
    <t>0892</t>
  </si>
  <si>
    <t>0893</t>
  </si>
  <si>
    <t>0894</t>
  </si>
  <si>
    <t>0895</t>
  </si>
  <si>
    <t>0896</t>
  </si>
  <si>
    <t>0897</t>
  </si>
  <si>
    <t>0898</t>
  </si>
  <si>
    <t>0899</t>
  </si>
  <si>
    <t>0901</t>
  </si>
  <si>
    <t>0902</t>
  </si>
  <si>
    <t>0903</t>
  </si>
  <si>
    <t>0904</t>
  </si>
  <si>
    <t>0905</t>
  </si>
  <si>
    <t>0906</t>
  </si>
  <si>
    <t>0907</t>
  </si>
  <si>
    <t>0908</t>
  </si>
  <si>
    <t>0909</t>
  </si>
  <si>
    <t>0918</t>
  </si>
  <si>
    <t>0919</t>
  </si>
  <si>
    <t>0921</t>
  </si>
  <si>
    <t>0922</t>
  </si>
  <si>
    <t>0923</t>
  </si>
  <si>
    <t>0924</t>
  </si>
  <si>
    <t>0925</t>
  </si>
  <si>
    <t>0926</t>
  </si>
  <si>
    <t>0927</t>
  </si>
  <si>
    <t>0928</t>
  </si>
  <si>
    <t>0929</t>
  </si>
  <si>
    <t>0930</t>
  </si>
  <si>
    <t>0931</t>
  </si>
  <si>
    <t>0932</t>
  </si>
  <si>
    <t>0933</t>
  </si>
  <si>
    <t>0934</t>
  </si>
  <si>
    <t>0935</t>
  </si>
  <si>
    <t>0936</t>
  </si>
  <si>
    <t>0937</t>
  </si>
  <si>
    <t>0938</t>
  </si>
  <si>
    <t>0939</t>
  </si>
  <si>
    <t>0945</t>
  </si>
  <si>
    <t>0940</t>
  </si>
  <si>
    <t>0941</t>
  </si>
  <si>
    <t>0942</t>
  </si>
  <si>
    <t>0943</t>
  </si>
  <si>
    <t>0944</t>
  </si>
  <si>
    <t>0946</t>
  </si>
  <si>
    <t>0947</t>
  </si>
  <si>
    <t>0948</t>
  </si>
  <si>
    <t>0949</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</si>
  <si>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</si>
  <si>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</si>
  <si>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</si>
  <si>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</si>
  <si>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</si>
  <si>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</si>
  <si>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</si>
  <si>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</si>
  <si>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</si>
  <si>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</si>
  <si>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</si>
  <si>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</si>
  <si>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</si>
  <si>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</si>
  <si>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</si>
  <si>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</si>
  <si>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</si>
  <si>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</si>
  <si>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</si>
  <si>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</si>
  <si>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</si>
  <si>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</si>
  <si>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</si>
  <si>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</si>
  <si>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</si>
  <si>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</si>
  <si>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</si>
  <si>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</si>
  <si>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</si>
  <si>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</si>
  <si>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</si>
  <si>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</si>
  <si>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</si>
  <si>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</si>
  <si>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</si>
  <si>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</si>
  <si>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</si>
  <si>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</si>
  <si>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</si>
  <si>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</si>
  <si>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</si>
  <si>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</si>
  <si>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</si>
  <si>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Participaciones hipotecarias</t>
  </si>
  <si>
    <t>Cédulas territoriales</t>
  </si>
  <si>
    <t>0009</t>
  </si>
  <si>
    <t>0018</t>
  </si>
  <si>
    <t>0019</t>
  </si>
  <si>
    <t>0038</t>
  </si>
  <si>
    <t>0039</t>
  </si>
  <si>
    <t>0048</t>
  </si>
  <si>
    <t>0049</t>
  </si>
  <si>
    <t>0068</t>
  </si>
  <si>
    <t>0069</t>
  </si>
  <si>
    <t>0078</t>
  </si>
  <si>
    <t>0079</t>
  </si>
  <si>
    <t>0098</t>
  </si>
  <si>
    <t>0099</t>
  </si>
  <si>
    <t>0129</t>
  </si>
  <si>
    <t>0139</t>
  </si>
  <si>
    <t>0159</t>
  </si>
  <si>
    <t>0169</t>
  </si>
  <si>
    <t>Total España</t>
  </si>
  <si>
    <t>Total general</t>
  </si>
  <si>
    <t>Otros países Unión Europea</t>
  </si>
  <si>
    <t>Resto</t>
  </si>
  <si>
    <t>1111</t>
  </si>
  <si>
    <t>1112</t>
  </si>
  <si>
    <t>1113</t>
  </si>
  <si>
    <t>1114</t>
  </si>
  <si>
    <t>1115</t>
  </si>
  <si>
    <t>1116</t>
  </si>
  <si>
    <t>1117</t>
  </si>
  <si>
    <t>1118</t>
  </si>
  <si>
    <t>1120</t>
  </si>
  <si>
    <t>1130</t>
  </si>
  <si>
    <t>1121</t>
  </si>
  <si>
    <t>1122</t>
  </si>
  <si>
    <t>1123</t>
  </si>
  <si>
    <t>1124</t>
  </si>
  <si>
    <t>1125</t>
  </si>
  <si>
    <t>1126</t>
  </si>
  <si>
    <t>1127</t>
  </si>
  <si>
    <t>1128</t>
  </si>
  <si>
    <t>1131</t>
  </si>
  <si>
    <t>1132</t>
  </si>
  <si>
    <t>1133</t>
  </si>
  <si>
    <t>1134</t>
  </si>
  <si>
    <t>1135</t>
  </si>
  <si>
    <t>1136</t>
  </si>
  <si>
    <t>1137</t>
  </si>
  <si>
    <t>1138</t>
  </si>
  <si>
    <t>1140</t>
  </si>
  <si>
    <t>1150</t>
  </si>
  <si>
    <t>1141</t>
  </si>
  <si>
    <t>1142</t>
  </si>
  <si>
    <t>1143</t>
  </si>
  <si>
    <t>1144</t>
  </si>
  <si>
    <t>1145</t>
  </si>
  <si>
    <t>1146</t>
  </si>
  <si>
    <t>1147</t>
  </si>
  <si>
    <t>1148</t>
  </si>
  <si>
    <t>1151</t>
  </si>
  <si>
    <t>1152</t>
  </si>
  <si>
    <t>1153</t>
  </si>
  <si>
    <t>1154</t>
  </si>
  <si>
    <t>1155</t>
  </si>
  <si>
    <t>1156</t>
  </si>
  <si>
    <t>1157</t>
  </si>
  <si>
    <t>1158</t>
  </si>
  <si>
    <t>1223</t>
  </si>
  <si>
    <t>1301</t>
  </si>
  <si>
    <t>1302</t>
  </si>
  <si>
    <t>1303</t>
  </si>
  <si>
    <t>1304</t>
  </si>
  <si>
    <t>1305</t>
  </si>
  <si>
    <t>1306</t>
  </si>
  <si>
    <t>1330</t>
  </si>
  <si>
    <t>1340</t>
  </si>
  <si>
    <t>1350</t>
  </si>
  <si>
    <t>1321</t>
  </si>
  <si>
    <t>1322</t>
  </si>
  <si>
    <t>1323</t>
  </si>
  <si>
    <t>1324</t>
  </si>
  <si>
    <t>1325</t>
  </si>
  <si>
    <t>1326</t>
  </si>
  <si>
    <t>1331</t>
  </si>
  <si>
    <t>1332</t>
  </si>
  <si>
    <t>1333</t>
  </si>
  <si>
    <t>1334</t>
  </si>
  <si>
    <t>1335</t>
  </si>
  <si>
    <t>1336</t>
  </si>
  <si>
    <t>1341</t>
  </si>
  <si>
    <t>1342</t>
  </si>
  <si>
    <t>1343</t>
  </si>
  <si>
    <t>1344</t>
  </si>
  <si>
    <t>1345</t>
  </si>
  <si>
    <t>1346</t>
  </si>
  <si>
    <t>1351</t>
  </si>
  <si>
    <t>1352</t>
  </si>
  <si>
    <t>1353</t>
  </si>
  <si>
    <t>1354</t>
  </si>
  <si>
    <t>1355</t>
  </si>
  <si>
    <t>1356</t>
  </si>
  <si>
    <t>1423</t>
  </si>
  <si>
    <t>1425</t>
  </si>
  <si>
    <t>1435</t>
  </si>
  <si>
    <t>1501</t>
  </si>
  <si>
    <t>1502</t>
  </si>
  <si>
    <t>1503</t>
  </si>
  <si>
    <t>1504</t>
  </si>
  <si>
    <t>1505</t>
  </si>
  <si>
    <t>1506</t>
  </si>
  <si>
    <t>1507</t>
  </si>
  <si>
    <t>1508</t>
  </si>
  <si>
    <t>1509</t>
  </si>
  <si>
    <t>1510</t>
  </si>
  <si>
    <t>1511</t>
  </si>
  <si>
    <t>1512</t>
  </si>
  <si>
    <t>1513</t>
  </si>
  <si>
    <t>1514</t>
  </si>
  <si>
    <t>1515</t>
  </si>
  <si>
    <t>1516</t>
  </si>
  <si>
    <t>1517</t>
  </si>
  <si>
    <t>1518</t>
  </si>
  <si>
    <t>s055.00576 = s055.00571 + s055.00572 + s055.00573 + s055.00574 + s055.00575</t>
  </si>
  <si>
    <t>s055.00588 = s055.00583 + s055.00584 + s055.00585 + s055.00586 + s055.00587</t>
  </si>
  <si>
    <t>s055.00605 = s055.00600 + s055.00601 + s055.00602 + s055.00603 + s055.00604</t>
  </si>
  <si>
    <t>s055.00616 = s055.00611 + s055.00612 + s055.00613 + s055.00614 + s055.00615</t>
  </si>
  <si>
    <t>s010.00930 = s010.00940 + s010.00950 + s010.00960 + s010.00970</t>
  </si>
  <si>
    <t>s010.01930 = s010.01940 + s010.01950 + s010.01960 + s010.01970</t>
  </si>
  <si>
    <t>s010.01000 = s010.00650 + s010.00760 + s010.00930</t>
  </si>
  <si>
    <t>s010.02000 = s010.01650 + s010.01760 + s010.01930</t>
  </si>
  <si>
    <t>s020.02200 &lt; 0</t>
  </si>
  <si>
    <t>s020.03200 &lt; 0</t>
  </si>
  <si>
    <t>s020.02210 &lt; 0</t>
  </si>
  <si>
    <t>s020.03210 &lt; 0</t>
  </si>
  <si>
    <t>s020.02220 &lt; 0</t>
  </si>
  <si>
    <t>s020.03220 &lt; 0</t>
  </si>
  <si>
    <t>s020.02230 &lt; 0</t>
  </si>
  <si>
    <t>s020.03230 &lt; 0</t>
  </si>
  <si>
    <t>s020.02610 &lt; 0</t>
  </si>
  <si>
    <t>s020.03610 &lt; 0</t>
  </si>
  <si>
    <t>s020.02611 &lt; 0</t>
  </si>
  <si>
    <t>s020.03611 &lt; 0</t>
  </si>
  <si>
    <t>s020.02612 &lt; 0</t>
  </si>
  <si>
    <t>s020.03612 &lt; 0</t>
  </si>
  <si>
    <t>s020.02613 &lt; 0</t>
  </si>
  <si>
    <t>s020.03613 &lt; 0</t>
  </si>
  <si>
    <t>s020.02614 &lt; 0</t>
  </si>
  <si>
    <t>s020.00610 = s020.00611 + s020.00612 + s020.00613 + s020.00614 + s020.00620</t>
  </si>
  <si>
    <t>s020.01610 = s020.01611 + s020.01612 + s020.01613 + s020.01614 + s020.01620</t>
  </si>
  <si>
    <t>s020.02610 = s020.02611 + s020.02612 + s020.02613 + s020.02614 + s020.02620</t>
  </si>
  <si>
    <t>s020.03610 = s020.03611 + s020.03612 + s020.03613 + s020.03614 + s020.03620</t>
  </si>
  <si>
    <t>s020.00630 = s020.00631 + s020.00632 + s020.00633 + s020.00634 + s020.00635 + s020.00636 + s020.00637</t>
  </si>
  <si>
    <t>s020.01630 = s020.01631 + s020.01632 + s020.01633 + s020.01634 + s020.01635 + s020.01636 + s020.01637</t>
  </si>
  <si>
    <t>s020.02630 = s020.02631 + s020.02632 + s020.02633 + s020.02634 + s020.02635 + s020.02636 + s020.02637</t>
  </si>
  <si>
    <t>s020.03630 = s020.03631 + s020.03632 + s020.03633 + s020.03634 + s020.03635 + s020.03636 + s020.03637</t>
  </si>
  <si>
    <t>s020.00600 = s020.00610 + s020.00630</t>
  </si>
  <si>
    <t>F.T.A. SANTANDER FINANCIACION 3</t>
  </si>
  <si>
    <t>2008-05-12</t>
  </si>
  <si>
    <t>ES0337946000</t>
  </si>
  <si>
    <t>ES0337946018</t>
  </si>
  <si>
    <t>ES0337946026</t>
  </si>
  <si>
    <t>ES0337946034</t>
  </si>
  <si>
    <t>ES0337946042</t>
  </si>
  <si>
    <t>ES0337946059</t>
  </si>
  <si>
    <t>SERIE A</t>
  </si>
  <si>
    <t>SERIE B</t>
  </si>
  <si>
    <t>SERIE C</t>
  </si>
  <si>
    <t>SERIE D</t>
  </si>
  <si>
    <t>SERIE E</t>
  </si>
  <si>
    <t>SERIE F</t>
  </si>
  <si>
    <t>Aa2</t>
  </si>
  <si>
    <t>Baa1</t>
  </si>
  <si>
    <t>Ba2</t>
  </si>
  <si>
    <t>Caa2</t>
  </si>
  <si>
    <t>Caa3</t>
  </si>
  <si>
    <t>Ca</t>
  </si>
  <si>
    <t>E3M</t>
  </si>
  <si>
    <t>360</t>
  </si>
  <si>
    <t>*I32 ICO PYMES 2000. LIQUIDACION MENSUAL</t>
  </si>
  <si>
    <t>*I33 ICO PYMES 2000. LIQUIDACION TRIMESTRAL</t>
  </si>
  <si>
    <t>*I34 ICO PYMES 2000. LIQUIDACION SEMESTRAL</t>
  </si>
  <si>
    <t>*I91 ICO - CDTI 2003. LIQUIDACION MENSUAL</t>
  </si>
  <si>
    <t>*I93 ICO - CDTI 2003. LIQUIDACION SEMESTRAL</t>
  </si>
  <si>
    <t>*I95 LINEA ICO-PYMES 2004. LIQUIDACION TRIMESTRAL</t>
  </si>
  <si>
    <t>*I96 LINEA ICO-PYMES 2004. LIQUIDACION SEMESTRAL</t>
  </si>
  <si>
    <t>*O04 INSTITUTO CATALAN DE FINANZAS-CONVENIO 2005</t>
  </si>
  <si>
    <t>*O08  INST.CATALAN FINANZAS (SEMESTRAL)</t>
  </si>
  <si>
    <t>*O11  LINEA "PYMES 2007" CON LIQUIDACION MENSUAL</t>
  </si>
  <si>
    <t>*O12  LINEA "PYMES 2007" CON LIQUIDACION TRIMESTRAL</t>
  </si>
  <si>
    <t>*O13  LINEA "PYMES 2007" CON LIQUIDACION SEMESTRAL</t>
  </si>
  <si>
    <t>*O16  LINEA ICO-CRECI. EMPRESA, LIQUID. SEMESTRAL</t>
  </si>
  <si>
    <t>*O17  ICO-EMPRENDEDORES, LIQUID. SEM.SIN AVAL</t>
  </si>
  <si>
    <t>*O19  LINEA ICO-TEXTIL CALZADO, LIQUID. MENSUAL</t>
  </si>
  <si>
    <t>*O20  LINEA ICO-TEXTIL CALZADO, LIQUID. TRIMESTRAL</t>
  </si>
  <si>
    <t>*S28 EURIBOR A 3 MESES - SAN</t>
  </si>
  <si>
    <t>*S29 EURIBOR A 6 MESES - SAN</t>
  </si>
  <si>
    <t>*S30 EURIBOR A 12 MESES - SAN</t>
  </si>
  <si>
    <t>*S32 EURIBOR EMPLEADOS-MEJORAS SOCIALES EXTRA CONVENIO</t>
  </si>
  <si>
    <t>*S33 EURIBOR-35% EMPL.-MEJORAS SOC. EXTRA CONVENIO</t>
  </si>
  <si>
    <t>*136 MIBOR HIPOTECARIO A 1 AÐO</t>
  </si>
  <si>
    <t>*142 EURIBOR HIPOTECARIO A 1 AÐO</t>
  </si>
  <si>
    <t>*219 EURIBOR A 3 SEMANAS</t>
  </si>
  <si>
    <t>*307 MIBOR A 6 MESES</t>
  </si>
  <si>
    <t>FIJ  INTERES FIJO.</t>
  </si>
  <si>
    <t>PERSONAS FISICAS QUE NO DESARROLLAN ACTIVIDAD ECONOMICA (FAM</t>
  </si>
  <si>
    <t>000</t>
  </si>
  <si>
    <t>0521</t>
  </si>
  <si>
    <t>0522</t>
  </si>
  <si>
    <t>0523</t>
  </si>
  <si>
    <t>0524</t>
  </si>
  <si>
    <t>0526</t>
  </si>
  <si>
    <t>0527</t>
  </si>
  <si>
    <t>0530</t>
  </si>
  <si>
    <t>0531</t>
  </si>
  <si>
    <t>0532</t>
  </si>
  <si>
    <t>0533</t>
  </si>
  <si>
    <t>0534</t>
  </si>
  <si>
    <t>0535</t>
  </si>
  <si>
    <t>Periodo:</t>
  </si>
  <si>
    <t xml:space="preserve">Estados agregados: </t>
  </si>
  <si>
    <t xml:space="preserve">Entidades cedentes de los activos titulizados: </t>
  </si>
  <si>
    <t>0536</t>
  </si>
  <si>
    <t>0537</t>
  </si>
  <si>
    <t>0538</t>
  </si>
  <si>
    <t>0539</t>
  </si>
  <si>
    <t>0540</t>
  </si>
  <si>
    <t>0541</t>
  </si>
  <si>
    <t>0542</t>
  </si>
  <si>
    <t>0543</t>
  </si>
  <si>
    <t>0544</t>
  </si>
  <si>
    <t>0545</t>
  </si>
  <si>
    <t>0546</t>
  </si>
  <si>
    <t>0547</t>
  </si>
  <si>
    <t>0548</t>
  </si>
  <si>
    <t>0549</t>
  </si>
  <si>
    <t>0550</t>
  </si>
  <si>
    <t>0552</t>
  </si>
  <si>
    <t>0553</t>
  </si>
  <si>
    <t>0601</t>
  </si>
  <si>
    <t>0602</t>
  </si>
  <si>
    <t>0603</t>
  </si>
  <si>
    <t>0604</t>
  </si>
  <si>
    <t>0605</t>
  </si>
  <si>
    <t>0606</t>
  </si>
  <si>
    <t>0607</t>
  </si>
  <si>
    <t>0608</t>
  </si>
  <si>
    <t>0609</t>
  </si>
  <si>
    <t>0615</t>
  </si>
  <si>
    <t>0701</t>
  </si>
  <si>
    <t>0702</t>
  </si>
  <si>
    <t>0703</t>
  </si>
  <si>
    <t>0704</t>
  </si>
  <si>
    <t>0705</t>
  </si>
  <si>
    <t>0706</t>
  </si>
  <si>
    <t>0707</t>
  </si>
  <si>
    <t>0708</t>
  </si>
  <si>
    <t>0709</t>
  </si>
  <si>
    <t>Tipología de activos titulizados</t>
  </si>
  <si>
    <t>2.4 Cédulas Hipotecarias</t>
  </si>
  <si>
    <t>B) RESULTADO ANTES DE IMPUESTOS</t>
  </si>
  <si>
    <t>7.1 Deterioro neto de valores representativos de deuda</t>
  </si>
  <si>
    <t>7.2 Deterioro neto de derechos de crédito</t>
  </si>
  <si>
    <t>7.3 Deterioro neto de derivados</t>
  </si>
  <si>
    <t xml:space="preserve">7.4 Deterioro neto de otros activos financieros </t>
  </si>
  <si>
    <t>2.5 Préstamos a promotores</t>
  </si>
  <si>
    <t>2.7 Préstamos a empresas</t>
  </si>
  <si>
    <t>2.9 Cédulas territoriales</t>
  </si>
  <si>
    <t>2.10 Bonos de Tesorería</t>
  </si>
  <si>
    <t>2.11 Deuda Subordinada</t>
  </si>
  <si>
    <t>2.12 Créditos AAPP</t>
  </si>
  <si>
    <t>2.13 Préstamos Consumo</t>
  </si>
  <si>
    <t>2.14 Préstamos automoción</t>
  </si>
  <si>
    <t>2.15 Cuotas de Arrendamiento financiero (leasing)</t>
  </si>
  <si>
    <t>2.16 Cuentas a cobrar</t>
  </si>
  <si>
    <t>2.17 Derechos de crédito futuros</t>
  </si>
  <si>
    <t>2.18 Bonos de titulización</t>
  </si>
  <si>
    <t>2.19 Otros</t>
  </si>
  <si>
    <t>1.2 Administraciones Públicas españolas</t>
  </si>
  <si>
    <t>1.3 Entidades de crédito</t>
  </si>
  <si>
    <t>1.4 Otros sectores residentes</t>
  </si>
  <si>
    <t>1.5 Administraciones Públicas no residentes</t>
  </si>
  <si>
    <t>1.6 Otros sectores no residentes</t>
  </si>
  <si>
    <t>1.7 Activos dudosos</t>
  </si>
  <si>
    <t>1.8 Correciones de valor por deterioro de activos (-)</t>
  </si>
  <si>
    <t>2. Derechos de crédito</t>
  </si>
  <si>
    <t>2.2 Certificados de transmisión hipotecaria</t>
  </si>
  <si>
    <t>4. Otros activos financieros</t>
  </si>
  <si>
    <t>4.1 Garantías financieras</t>
  </si>
  <si>
    <t>4.2 Otros</t>
  </si>
  <si>
    <t>1.2 Series subordinadas</t>
  </si>
  <si>
    <t>Principal no vencido</t>
  </si>
  <si>
    <t>1.1 Series no subordinadas</t>
  </si>
  <si>
    <t>Importe pendiente en Divisa</t>
  </si>
  <si>
    <t>Importe pendiente en euros</t>
  </si>
  <si>
    <t>1.3 Correciones de valor por repercusión de pérdidas (-)</t>
  </si>
  <si>
    <t>2.4 Correciones de valor por repercusión de pérdidas (-)</t>
  </si>
  <si>
    <t>4.1 Correciones de valor por repercusión de pérdidas (-)</t>
  </si>
  <si>
    <t>2.3 Correciones de valor por repercusión de pérdidas (-)</t>
  </si>
  <si>
    <t>3.4 Correciones de valor por repercusión de pérdidas (-)</t>
  </si>
  <si>
    <t>5.2 Correciones de valor por repercusión de pérdidas (-)</t>
  </si>
  <si>
    <t>5.1 Importe bruto</t>
  </si>
  <si>
    <t>S.05.4</t>
  </si>
  <si>
    <t>S.05.3</t>
  </si>
  <si>
    <t>S.05.2</t>
  </si>
  <si>
    <t>S.05.1</t>
  </si>
  <si>
    <t>2.1 Participaciones hipotecarias</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</si>
  <si>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</si>
  <si>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</si>
  <si>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</si>
  <si>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</si>
  <si>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</si>
  <si>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</si>
  <si>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</si>
  <si>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</si>
  <si>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</si>
  <si>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</si>
  <si>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</si>
  <si>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</si>
  <si>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</si>
  <si>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</si>
  <si>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</si>
  <si>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</si>
  <si>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</si>
  <si>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</si>
  <si>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</si>
  <si>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</si>
  <si>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</si>
  <si>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</si>
  <si>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</si>
  <si>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</si>
  <si>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</si>
  <si>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</si>
  <si>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</si>
  <si>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</si>
  <si>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</si>
  <si>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</si>
  <si>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</si>
  <si>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</si>
  <si>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</si>
  <si>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</si>
  <si>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</si>
  <si>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</si>
  <si>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</si>
  <si>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</si>
  <si>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</si>
  <si>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</si>
  <si>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</si>
  <si>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</si>
  <si>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</si>
  <si>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</si>
  <si>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</si>
  <si>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</si>
  <si>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</si>
  <si>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</si>
  <si>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1119</t>
  </si>
  <si>
    <t>1139</t>
  </si>
  <si>
    <t>1159</t>
  </si>
  <si>
    <t>Media ponderada (%)</t>
  </si>
  <si>
    <t>Margen ponderado s/ índice de referencia</t>
  </si>
  <si>
    <t>Número de activos vivos</t>
  </si>
  <si>
    <t>Importe Pendiente</t>
  </si>
  <si>
    <t>1626</t>
  </si>
  <si>
    <t>Tipo de interés medio ponderado (%)</t>
  </si>
  <si>
    <t>6.3.6 Otras comisiones del cedente</t>
  </si>
  <si>
    <t>3.3 Préstamos hipotecarios</t>
  </si>
  <si>
    <t>2.3 Préstamos hipotecarios</t>
  </si>
  <si>
    <t>P. corriente actual
(2º semestre)</t>
  </si>
  <si>
    <t>P. corriente anterior
(2º semestre)</t>
  </si>
  <si>
    <t>1.1 Intereses cobrados de los activos titulizados</t>
  </si>
  <si>
    <t>Nº de activos vivos</t>
  </si>
  <si>
    <t>Préstamos hipotecarios</t>
  </si>
  <si>
    <t>1.4 Comisión variable - resultados realizados</t>
  </si>
  <si>
    <t>s051.00730 = s051.00710 + s051.00720</t>
  </si>
  <si>
    <t>s051.00731 = s051.00711 + s051.00721</t>
  </si>
  <si>
    <t>s051.00732 = s051.00712 + s051.00722</t>
  </si>
  <si>
    <t>s051.00733 = s051.00713 + s051.00723</t>
  </si>
  <si>
    <t>s051.00734 = s051.00714 + s051.00724</t>
  </si>
  <si>
    <t>s051.00735 = s051.00715 + s051.00725</t>
  </si>
  <si>
    <t>s051.00736 = s051.00716 + s051.00726</t>
  </si>
  <si>
    <t>s051.00737 = s051.00717 + s051.00727</t>
  </si>
  <si>
    <t>s051.00738 = s051.00718 + s051.00728</t>
  </si>
  <si>
    <t>3.18 Bonos de titulización</t>
  </si>
  <si>
    <t>3.19 Otros</t>
  </si>
  <si>
    <t>3.20 Activos dudosos</t>
  </si>
  <si>
    <t>Periodo anterior</t>
  </si>
  <si>
    <t>Última Fecha Pago</t>
  </si>
  <si>
    <t>Ref. Folleto</t>
  </si>
  <si>
    <t>(1) En caso de existir definiciones adicionales a las recogidas en la presente tabla (moras cualificadas, fallidos subjetivos, etc) respecto a las que se establezca algún trigger se indicarán en la tabla de Otros ratios relevantes, indicando el nombre del ratio.</t>
  </si>
  <si>
    <t>(2) Las ratios se corresponden al importe total de activos fallidos o morosos entre el saldo vivo de los activos cedidos al fondo según se defina en la documentación contractual. En la columna Ref. Folleto se indicará el epígrafe o capítulo del folleto en el que el concepto esté definido</t>
  </si>
  <si>
    <t>0380</t>
  </si>
  <si>
    <t>0390</t>
  </si>
  <si>
    <t xml:space="preserve">Límite </t>
  </si>
  <si>
    <t>s030.08350 = s030.08400 + s030.08500 + s030.08600 + s030.08700</t>
  </si>
  <si>
    <t>s030.09350 = s030.09400 + s030.09500 + s030.09600 + s030.09700</t>
  </si>
  <si>
    <t>s030.08800 = s030.08000 + s030.08350</t>
  </si>
  <si>
    <t>s030.09800 = s030.09000 + s030.09350</t>
  </si>
  <si>
    <t>s040.06100 = 0</t>
  </si>
  <si>
    <t>s040.07100 = 0</t>
  </si>
  <si>
    <t>s040.06200 = 0</t>
  </si>
  <si>
    <t>s040.07200 = 0</t>
  </si>
  <si>
    <t>s040.06400 = 0</t>
  </si>
  <si>
    <t>s040.07400 = 0</t>
  </si>
  <si>
    <t>s040.06500 = 0</t>
  </si>
  <si>
    <t>s040.07500 = 0</t>
  </si>
  <si>
    <t>s040.06010 = s040.06020 + s040.06021</t>
  </si>
  <si>
    <t>s051.00739 = s051.00730 + s051.00731 + s051.00732 + s051.00733 + s051.00734 + s051.00735 + s051.00736 + s051.00737 + s051.00738</t>
  </si>
  <si>
    <t>s051.00749 = s051.00740 + s051.00741 + s051.00742 + s051.00743 + s051.00744 + s051.00745 + s051.00746 + s051.00747 + s051.00748</t>
  </si>
  <si>
    <t>s051.00759 = s051.00750 + s051.00751 + s051.00752 + s051.00753 + s051.00754 + s051.00755 + s051.00756 + s051.00757 + s051.00758</t>
  </si>
  <si>
    <t>s051.00779 = s051.00770 + s051.00771 + s051.00772 + s051.00773 + s051.00774 + s051.00775 + s051.00776 + s051.00777 + s051.00778</t>
  </si>
  <si>
    <t>s051.00789 = s051.00780 + s051.00781 + s051.00782 + s051.00783 + s051.00784 + s051.00785 + s051.00786 + s051.00787 + s051.00788</t>
  </si>
  <si>
    <t>s051.00799 = s051.00790 + s051.00791 + s051.00792 + s051.00793 + s051.00794 + s051.00795 + s051.00796 + s051.00797 + s051.00798</t>
  </si>
  <si>
    <t>s051.00800 = s051.00780 + s051.00790</t>
  </si>
  <si>
    <t>s051.00801 = s051.00781 + s051.00791</t>
  </si>
  <si>
    <t>s051.00802 = s051.00782 + s051.00792</t>
  </si>
  <si>
    <t>s051.00803 = s051.00783 + s051.00793</t>
  </si>
  <si>
    <t>s051.00804 = s051.00784 + s051.00794</t>
  </si>
  <si>
    <t>s051.00080 = s051.00060 + s051.00061 + s051.00062 + s051.00063 + s051.00064 + s051.00066 + s051.00067 + s051.00068 + s051.00069 + s051.00070 + s051.00071 + s051.00072 + s051.00073 + s051.00074 + s051.00075 + s051.00076 + s051.00077 + s051.00078 + s051.00079</t>
  </si>
  <si>
    <t>s051.00110 = s051.00090 + s051.00091 + s051.00092 + s051.00093 + s051.00094 + s051.00096 + s051.00097 + s051.00098 + s051.00099 + s051.00100 + s051.00101 + s051.00102 + s051.00103 + s051.00104 + s051.00105 + s051.00106 + s051.00107 + s051.00108 + s051.00109</t>
  </si>
  <si>
    <t>s051.00140 = s051.00120 + s051.00121 + s051.00122 + s051.00123 + s051.00124 + s051.00126 + s051.00127 + s051.00128 + s051.00129 + s051.00130 + s051.00131 + s051.00132 + s051.00133 + s051.00134 + s051.00135 + s051.00136 + s051.00137 + s051.00138 + s051.00139</t>
  </si>
  <si>
    <t>s051.00170 = s051.00150 + s051.00151 + s051.00152 + s051.00153 + s051.00154 + s051.00156 + s051.00157 + s051.00158 + s051.00159 + s051.00160 + s051.00161 + s051.00162 + s051.00163 + s051.00164 + s051.00165 + s051.00166 + s051.00167 + s051.00168 + s051.00169</t>
  </si>
  <si>
    <t>s051.00709 = s051.00700 + s051.00701 + s051.00702 + s051.00703 + s051.00704 + s051.00705 + s051.00706 + s051.00707 + s051.00708</t>
  </si>
  <si>
    <t>s051.00719 = s051.00710 + s051.00711 + s051.00712 + s051.00713 + s051.00714 + s051.00715 + s051.00716 + s051.00717 + s051.00718</t>
  </si>
  <si>
    <t>s051.00729 = s051.00720 + s051.00721 + s051.00722 + s051.00723 + s051.00724 + s051.00725 + s051.00726 + s051.00727 + s051.00728</t>
  </si>
  <si>
    <t>1.3 Comisión agente financiero/pagos</t>
  </si>
  <si>
    <t>2.3 Comisiones pagadas al agente financiero</t>
  </si>
  <si>
    <t>2.5 Otras comisiones</t>
  </si>
  <si>
    <t>Prestamos a PYMES</t>
  </si>
  <si>
    <t>Préstamos a empresas</t>
  </si>
  <si>
    <t>Prestamos Corporativos</t>
  </si>
  <si>
    <t>Bonos de Tesorería</t>
  </si>
  <si>
    <t>Deuda Subordinada</t>
  </si>
  <si>
    <t>s053.00020 = s053.00010 / s051.00050</t>
  </si>
  <si>
    <t>s054.00120 = s054.00100 + s054.00110</t>
  </si>
  <si>
    <t>s054.00220 = s054.00200 + s054.00210</t>
  </si>
  <si>
    <t>s054.00150 = s054.00130 + s054.00140</t>
  </si>
  <si>
    <t>s054.00250 = s054.00230 + s054.00240</t>
  </si>
  <si>
    <t>s055.00425 = s051.00021</t>
  </si>
  <si>
    <t>s055.00450 = s051.00050</t>
  </si>
  <si>
    <t>s055.00475 = s051.00080</t>
  </si>
  <si>
    <t>s055.00501 = s051.00110</t>
  </si>
  <si>
    <t>s055.00527 = s051.00140</t>
  </si>
  <si>
    <t>s055.00553 = s051.00170</t>
  </si>
  <si>
    <t>s055.00576 = s051.00021</t>
  </si>
  <si>
    <t>s055.00588 = s051.00050</t>
  </si>
  <si>
    <t>s055.00605 = s051.00080</t>
  </si>
  <si>
    <t>s055.00616 = s051.00110</t>
  </si>
  <si>
    <t>s055.00625 = s051.00140</t>
  </si>
  <si>
    <t>s055.00636 = s051.00170</t>
  </si>
  <si>
    <t>s055.01405 = s051.00021</t>
  </si>
  <si>
    <t>s055.01415 = s051.00050</t>
  </si>
  <si>
    <t>s055.01520 = s051.00021</t>
  </si>
  <si>
    <t>s055.01541 = s051.00050</t>
  </si>
  <si>
    <t>s055.01562 = s051.00080</t>
  </si>
  <si>
    <t>s055.01583 = s051.00110</t>
  </si>
  <si>
    <t>s055.01604 = s051.00140</t>
  </si>
  <si>
    <t>s055.01625 = s051.00170</t>
  </si>
  <si>
    <t xml:space="preserve">(2) La gestora deberá cumplimentar la denominación de la serie (ISIN) y su denominación. Cuando los títulos emitidos no tengan ISIN se rellenará exclusivamente la columna de denominación. </t>
  </si>
  <si>
    <t>(1)  La gestora deberá cumplimentar la denominación de la serie (ISIN) y su denominación. Cuando los títulos emitidos no tengan ISIN se rellenará exclusivamente la columna de denominación.</t>
  </si>
  <si>
    <t xml:space="preserve">(1)  La gestora deberá cumplimentar la denominación de la serie (ISIN) y su denominación. Cuando los títulos emitidos no tengan ISIN se rellenará exclusivamente la columna de denominación. </t>
  </si>
  <si>
    <t>Otras ratios relevantes</t>
  </si>
  <si>
    <t>Tipo de interés medio ponderado (2)</t>
  </si>
  <si>
    <t>Tipo aplicado</t>
  </si>
  <si>
    <t xml:space="preserve"> </t>
  </si>
  <si>
    <t>(1) La gestora deberá cumplimentar el índice de referencia que corresponda en cada caso (EURIBOR un año, LIBOR....).</t>
  </si>
  <si>
    <t>(4) En el caso de tipos fijos esta columna no se cumplimentará.</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</si>
</sst>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quot;&quot;"/>
    <numFmt numFmtId="165" formatCode="yyyy\ \ mm"/>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_ ;\-#,##0.00\ "/>
    <numFmt numFmtId="172" formatCode="[$-C0A]dddd\,\ dd&quot; de &quot;mmmm&quot; de &quot;yyyy"/>
    <numFmt numFmtId="173" formatCode="#,##0_ ;\-#,##0\ "/>
    <numFmt numFmtId="174" formatCode="00000"/>
    <numFmt numFmtId="175" formatCode="0###"/>
    <numFmt numFmtId="176" formatCode="000#"/>
    <numFmt numFmtId="177" formatCode="0000"/>
    <numFmt numFmtId="178" formatCode="yyyy\-mm\-dd"/>
    <numFmt numFmtId="179" formatCode="&quot;Sí&quot;;&quot;Sí&quot;;&quot;No&quot;"/>
    <numFmt numFmtId="180" formatCode="&quot;Verdadero&quot;;&quot;Verdadero&quot;;&quot;Falso&quot;"/>
    <numFmt numFmtId="181" formatCode="&quot;Activado&quot;;&quot;Activado&quot;;&quot;Desactivado&quot;"/>
  </numFmts>
  <fonts count="19">
    <font>
      <sz val="10"/>
      <name val="Arial"/>
      <family val="0"/>
    </font>
    <font>
      <sz val="8"/>
      <name val="Arial"/>
      <family val="0"/>
    </font>
    <font>
      <u val="single"/>
      <sz val="10"/>
      <color indexed="12"/>
      <name val="Arial"/>
      <family val="0"/>
    </font>
    <font>
      <u val="single"/>
      <sz val="10"/>
      <color indexed="36"/>
      <name val="Arial"/>
      <family val="0"/>
    </font>
    <font>
      <sz val="8"/>
      <name val="Myriad Pro"/>
      <family val="2"/>
    </font>
    <font>
      <sz val="12"/>
      <name val="Arial"/>
      <family val="2"/>
    </font>
    <font>
      <b/>
      <sz val="8"/>
      <name val="Myriad Pro"/>
      <family val="2"/>
    </font>
    <font>
      <b/>
      <sz val="8"/>
      <name val="Arial Unicode MS"/>
      <family val="2"/>
    </font>
    <font>
      <b/>
      <u val="single"/>
      <sz val="8"/>
      <name val="Myriad Pro"/>
      <family val="2"/>
    </font>
    <font>
      <i/>
      <sz val="8"/>
      <name val="Myriad Pro"/>
      <family val="2"/>
    </font>
    <font>
      <sz val="8"/>
      <name val="Celeste-Regular"/>
      <family val="0"/>
    </font>
    <font>
      <b/>
      <sz val="8"/>
      <name val="Celeste-Regular"/>
      <family val="0"/>
    </font>
    <font>
      <i/>
      <sz val="8"/>
      <name val="Celeste-Regular"/>
      <family val="0"/>
    </font>
    <font>
      <b/>
      <u val="single"/>
      <sz val="8"/>
      <name val="Celeste-Regular"/>
      <family val="0"/>
    </font>
    <font>
      <b/>
      <i/>
      <sz val="8"/>
      <name val="Myriad Pro"/>
      <family val="2"/>
    </font>
    <font>
      <b/>
      <sz val="30"/>
      <color indexed="9"/>
      <name val="Verdana"/>
      <family val="2"/>
    </font>
    <font>
      <sz val="12"/>
      <name val="Verdana"/>
      <family val="2"/>
    </font>
    <font>
      <b/>
      <sz val="8"/>
      <name val="Arial"/>
      <family val="0"/>
    </font>
    <font>
      <sz val="8"/>
      <name val="Tahoma"/>
      <family val="2"/>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lightTrellis">
        <bgColor indexed="48"/>
      </patternFill>
    </fill>
  </fills>
  <borders count="3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color indexed="63"/>
      </left>
      <right style="hair"/>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0" fontId="1" fillId="0" borderId="1" xfId="0" applyFont="1" applyBorder="1" applyAlignment="1">
      <alignment/>
    </xf>
    <xf numFmtId="49" fontId="6" fillId="2" borderId="1" xfId="0" applyNumberFormat="1" applyFont="1" applyFill="1" applyBorder="1" applyAlignment="1">
      <alignment horizontal="center"/>
    </xf>
    <xf numFmtId="0" fontId="1" fillId="0" borderId="0" xfId="0" applyFont="1" applyAlignment="1">
      <alignment/>
    </xf>
    <xf numFmtId="170" fontId="4" fillId="2" borderId="1" xfId="0" applyNumberFormat="1" applyFont="1" applyFill="1" applyBorder="1" applyAlignment="1">
      <alignment horizontal="left"/>
    </xf>
    <xf numFmtId="0" fontId="4" fillId="0" borderId="0" xfId="0" applyFont="1" applyFill="1" applyAlignment="1">
      <alignment/>
    </xf>
    <xf numFmtId="49" fontId="4" fillId="0" borderId="0" xfId="0" applyNumberFormat="1" applyFont="1" applyAlignment="1">
      <alignment horizontal="center"/>
    </xf>
    <xf numFmtId="0" fontId="4" fillId="0" borderId="0" xfId="0" applyFont="1" applyAlignment="1">
      <alignment/>
    </xf>
    <xf numFmtId="0" fontId="7" fillId="2" borderId="1" xfId="0" applyFont="1" applyFill="1" applyBorder="1" applyAlignment="1">
      <alignment horizontal="center" wrapText="1"/>
    </xf>
    <xf numFmtId="0" fontId="1" fillId="2" borderId="1" xfId="0" applyFont="1" applyFill="1" applyBorder="1" applyAlignment="1">
      <alignment wrapText="1"/>
    </xf>
    <xf numFmtId="0" fontId="1" fillId="3" borderId="1" xfId="0" applyFont="1" applyFill="1" applyBorder="1" applyAlignment="1">
      <alignment/>
    </xf>
    <xf numFmtId="170" fontId="6" fillId="0" borderId="0" xfId="0" applyNumberFormat="1" applyFont="1" applyFill="1" applyBorder="1" applyAlignment="1">
      <alignment horizontal="left"/>
    </xf>
    <xf numFmtId="170" fontId="6"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170" fontId="6" fillId="0" borderId="2" xfId="0" applyNumberFormat="1" applyFont="1" applyFill="1" applyBorder="1" applyAlignment="1">
      <alignment horizontal="center"/>
    </xf>
    <xf numFmtId="0" fontId="4" fillId="0" borderId="0" xfId="0" applyFont="1" applyBorder="1" applyAlignment="1">
      <alignment/>
    </xf>
    <xf numFmtId="170" fontId="6" fillId="0" borderId="3" xfId="0" applyNumberFormat="1" applyFont="1" applyFill="1" applyBorder="1" applyAlignment="1">
      <alignment horizontal="center"/>
    </xf>
    <xf numFmtId="170" fontId="6" fillId="0" borderId="3" xfId="0" applyNumberFormat="1" applyFont="1" applyFill="1" applyBorder="1" applyAlignment="1">
      <alignment horizontal="left"/>
    </xf>
    <xf numFmtId="49" fontId="4" fillId="0" borderId="3" xfId="0" applyNumberFormat="1" applyFont="1" applyFill="1" applyBorder="1" applyAlignment="1">
      <alignment horizontal="center"/>
    </xf>
    <xf numFmtId="0" fontId="8" fillId="0" borderId="0" xfId="0" applyFont="1" applyAlignment="1">
      <alignment horizontal="left"/>
    </xf>
    <xf numFmtId="170" fontId="6" fillId="2" borderId="4" xfId="0" applyNumberFormat="1" applyFont="1" applyFill="1" applyBorder="1" applyAlignment="1">
      <alignment horizontal="left" vertical="center"/>
    </xf>
    <xf numFmtId="170" fontId="6" fillId="2" borderId="5" xfId="0" applyNumberFormat="1" applyFont="1" applyFill="1" applyBorder="1" applyAlignment="1">
      <alignment horizontal="center"/>
    </xf>
    <xf numFmtId="49" fontId="4" fillId="2" borderId="1" xfId="0" applyNumberFormat="1" applyFont="1" applyFill="1" applyBorder="1" applyAlignment="1">
      <alignment horizontal="center"/>
    </xf>
    <xf numFmtId="0" fontId="6" fillId="0" borderId="0" xfId="0" applyFont="1" applyAlignment="1">
      <alignment/>
    </xf>
    <xf numFmtId="170" fontId="6" fillId="0" borderId="5" xfId="0" applyNumberFormat="1" applyFont="1" applyFill="1" applyBorder="1" applyAlignment="1">
      <alignment horizontal="left"/>
    </xf>
    <xf numFmtId="170" fontId="6" fillId="0" borderId="5" xfId="0" applyNumberFormat="1" applyFont="1" applyFill="1" applyBorder="1" applyAlignment="1">
      <alignment horizontal="center"/>
    </xf>
    <xf numFmtId="0" fontId="1" fillId="2" borderId="1" xfId="0" applyNumberFormat="1" applyFont="1" applyFill="1" applyBorder="1" applyAlignment="1">
      <alignment wrapText="1"/>
    </xf>
    <xf numFmtId="170" fontId="6" fillId="2" borderId="4" xfId="0" applyNumberFormat="1" applyFont="1" applyFill="1" applyBorder="1" applyAlignment="1">
      <alignment/>
    </xf>
    <xf numFmtId="0" fontId="6" fillId="2" borderId="6" xfId="0" applyFont="1" applyFill="1" applyBorder="1" applyAlignment="1">
      <alignment horizontal="center"/>
    </xf>
    <xf numFmtId="170" fontId="6" fillId="2" borderId="5" xfId="0" applyNumberFormat="1" applyFont="1" applyFill="1" applyBorder="1" applyAlignment="1">
      <alignment/>
    </xf>
    <xf numFmtId="49" fontId="4" fillId="2" borderId="7" xfId="0" applyNumberFormat="1" applyFont="1" applyFill="1" applyBorder="1" applyAlignment="1">
      <alignment horizontal="center"/>
    </xf>
    <xf numFmtId="0" fontId="6" fillId="0" borderId="0" xfId="0" applyFont="1" applyFill="1" applyAlignment="1">
      <alignment/>
    </xf>
    <xf numFmtId="0" fontId="4" fillId="0" borderId="0" xfId="0" applyFont="1" applyFill="1" applyBorder="1" applyAlignment="1">
      <alignment/>
    </xf>
    <xf numFmtId="49" fontId="4" fillId="2" borderId="8" xfId="0" applyNumberFormat="1" applyFont="1" applyFill="1" applyBorder="1" applyAlignment="1">
      <alignment horizontal="center"/>
    </xf>
    <xf numFmtId="49" fontId="4" fillId="0" borderId="0" xfId="0" applyNumberFormat="1" applyFont="1" applyBorder="1" applyAlignment="1">
      <alignment horizontal="center"/>
    </xf>
    <xf numFmtId="0" fontId="4" fillId="0" borderId="0" xfId="0" applyFont="1" applyBorder="1" applyAlignment="1">
      <alignment/>
    </xf>
    <xf numFmtId="0" fontId="6" fillId="2" borderId="5" xfId="0" applyFont="1" applyFill="1" applyBorder="1" applyAlignment="1">
      <alignment horizontal="center"/>
    </xf>
    <xf numFmtId="0" fontId="4" fillId="0" borderId="0" xfId="0" applyFont="1" applyAlignment="1">
      <alignment wrapText="1"/>
    </xf>
    <xf numFmtId="0" fontId="4" fillId="0" borderId="5" xfId="0" applyFont="1" applyFill="1" applyBorder="1" applyAlignment="1">
      <alignment/>
    </xf>
    <xf numFmtId="0" fontId="4" fillId="4" borderId="0" xfId="0" applyFont="1" applyFill="1" applyAlignment="1">
      <alignment/>
    </xf>
    <xf numFmtId="49" fontId="4" fillId="2" borderId="5" xfId="0" applyNumberFormat="1" applyFont="1" applyFill="1" applyBorder="1" applyAlignment="1">
      <alignment horizontal="center"/>
    </xf>
    <xf numFmtId="0" fontId="6" fillId="0" borderId="0" xfId="0" applyFont="1" applyFill="1" applyBorder="1" applyAlignment="1">
      <alignment/>
    </xf>
    <xf numFmtId="0" fontId="8" fillId="0" borderId="0" xfId="0" applyFont="1" applyFill="1" applyAlignment="1">
      <alignment horizontal="left"/>
    </xf>
    <xf numFmtId="0" fontId="1" fillId="0" borderId="0" xfId="0" applyFont="1" applyFill="1" applyBorder="1" applyAlignment="1">
      <alignment/>
    </xf>
    <xf numFmtId="0" fontId="1" fillId="0" borderId="0" xfId="0" applyFont="1" applyAlignment="1">
      <alignment wrapText="1"/>
    </xf>
    <xf numFmtId="0" fontId="4" fillId="0" borderId="4" xfId="0" applyFont="1" applyFill="1" applyBorder="1" applyAlignment="1">
      <alignment/>
    </xf>
    <xf numFmtId="49" fontId="6" fillId="0" borderId="5" xfId="0" applyNumberFormat="1" applyFont="1" applyFill="1" applyBorder="1" applyAlignment="1">
      <alignment horizontal="center"/>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9" fillId="0" borderId="0" xfId="0" applyFont="1" applyFill="1" applyBorder="1" applyAlignment="1">
      <alignment/>
    </xf>
    <xf numFmtId="0" fontId="6" fillId="2" borderId="9" xfId="0" applyFont="1" applyFill="1" applyBorder="1" applyAlignment="1">
      <alignment/>
    </xf>
    <xf numFmtId="0" fontId="4" fillId="2" borderId="2" xfId="0" applyFont="1" applyFill="1" applyBorder="1" applyAlignment="1">
      <alignment/>
    </xf>
    <xf numFmtId="0" fontId="6" fillId="2" borderId="2" xfId="0" applyFont="1" applyFill="1" applyBorder="1" applyAlignment="1">
      <alignment horizontal="center"/>
    </xf>
    <xf numFmtId="0" fontId="6" fillId="2" borderId="10" xfId="0" applyFont="1" applyFill="1" applyBorder="1" applyAlignment="1">
      <alignment/>
    </xf>
    <xf numFmtId="0" fontId="4" fillId="2" borderId="3" xfId="0" applyFont="1" applyFill="1" applyBorder="1" applyAlignment="1">
      <alignment/>
    </xf>
    <xf numFmtId="0" fontId="6" fillId="2" borderId="3" xfId="0" applyFont="1" applyFill="1" applyBorder="1" applyAlignment="1">
      <alignment horizontal="center" wrapText="1"/>
    </xf>
    <xf numFmtId="0" fontId="8" fillId="0" borderId="0" xfId="0" applyFont="1" applyFill="1" applyBorder="1" applyAlignment="1">
      <alignment horizontal="left"/>
    </xf>
    <xf numFmtId="49" fontId="4" fillId="2" borderId="7" xfId="0" applyNumberFormat="1" applyFont="1" applyFill="1" applyBorder="1" applyAlignment="1">
      <alignment horizontal="center" wrapText="1"/>
    </xf>
    <xf numFmtId="3" fontId="4" fillId="0" borderId="0" xfId="0" applyNumberFormat="1" applyFont="1" applyFill="1" applyBorder="1" applyAlignment="1">
      <alignment horizontal="right"/>
    </xf>
    <xf numFmtId="49" fontId="4" fillId="2" borderId="11" xfId="0" applyNumberFormat="1" applyFont="1" applyFill="1" applyBorder="1" applyAlignment="1">
      <alignment horizontal="center" wrapText="1"/>
    </xf>
    <xf numFmtId="3" fontId="4" fillId="0" borderId="12" xfId="0" applyNumberFormat="1" applyFont="1" applyFill="1" applyBorder="1" applyAlignment="1">
      <alignment horizontal="right"/>
    </xf>
    <xf numFmtId="3" fontId="4" fillId="0" borderId="7" xfId="0" applyNumberFormat="1" applyFont="1" applyFill="1" applyBorder="1" applyAlignment="1">
      <alignment horizontal="right"/>
    </xf>
    <xf numFmtId="3" fontId="4" fillId="0" borderId="3" xfId="0" applyNumberFormat="1" applyFont="1" applyFill="1" applyBorder="1" applyAlignment="1">
      <alignment horizontal="right"/>
    </xf>
    <xf numFmtId="49" fontId="4" fillId="2" borderId="1"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2" borderId="12"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0" fontId="6" fillId="2" borderId="5" xfId="0" applyFont="1" applyFill="1" applyBorder="1" applyAlignment="1">
      <alignment/>
    </xf>
    <xf numFmtId="0" fontId="6" fillId="2" borderId="1" xfId="0" applyFont="1" applyFill="1" applyBorder="1" applyAlignment="1">
      <alignment/>
    </xf>
    <xf numFmtId="0" fontId="6" fillId="0" borderId="0" xfId="0" applyFont="1" applyFill="1" applyBorder="1" applyAlignment="1">
      <alignment horizontal="left"/>
    </xf>
    <xf numFmtId="0" fontId="6" fillId="2" borderId="2" xfId="0" applyFont="1" applyFill="1" applyBorder="1" applyAlignment="1">
      <alignment/>
    </xf>
    <xf numFmtId="0" fontId="6" fillId="2" borderId="2" xfId="0" applyFont="1" applyFill="1" applyBorder="1" applyAlignment="1">
      <alignment horizontal="center" wrapText="1"/>
    </xf>
    <xf numFmtId="0" fontId="6" fillId="2" borderId="13" xfId="0" applyFont="1" applyFill="1" applyBorder="1" applyAlignment="1">
      <alignment/>
    </xf>
    <xf numFmtId="0" fontId="6" fillId="2" borderId="14" xfId="0" applyFont="1" applyFill="1" applyBorder="1" applyAlignment="1">
      <alignment/>
    </xf>
    <xf numFmtId="0" fontId="4" fillId="2" borderId="0"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5" xfId="0" applyFont="1" applyFill="1" applyBorder="1" applyAlignment="1">
      <alignment horizontal="center"/>
    </xf>
    <xf numFmtId="0" fontId="6" fillId="2" borderId="10" xfId="0" applyFont="1" applyFill="1" applyBorder="1" applyAlignment="1">
      <alignment horizontal="left"/>
    </xf>
    <xf numFmtId="0" fontId="6" fillId="2" borderId="3" xfId="0" applyFont="1" applyFill="1" applyBorder="1" applyAlignment="1">
      <alignment horizontal="left"/>
    </xf>
    <xf numFmtId="0" fontId="4" fillId="2" borderId="3" xfId="0" applyFont="1" applyFill="1" applyBorder="1" applyAlignment="1">
      <alignment horizontal="centerContinuous" vertical="center"/>
    </xf>
    <xf numFmtId="0" fontId="4" fillId="0" borderId="0" xfId="0" applyFont="1" applyFill="1" applyBorder="1" applyAlignment="1">
      <alignment horizontal="centerContinuous" vertical="center"/>
    </xf>
    <xf numFmtId="3" fontId="4" fillId="0" borderId="0" xfId="0"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6" fillId="2" borderId="5" xfId="0" applyNumberFormat="1" applyFont="1" applyFill="1" applyBorder="1" applyAlignment="1">
      <alignment/>
    </xf>
    <xf numFmtId="0" fontId="6" fillId="0" borderId="0" xfId="0" applyFont="1" applyFill="1" applyBorder="1" applyAlignment="1">
      <alignment horizontal="center" wrapText="1"/>
    </xf>
    <xf numFmtId="0" fontId="6" fillId="2" borderId="0" xfId="0" applyFont="1" applyFill="1" applyBorder="1" applyAlignment="1">
      <alignment horizontal="center" wrapText="1"/>
    </xf>
    <xf numFmtId="0" fontId="8" fillId="0" borderId="0" xfId="0" applyFont="1" applyFill="1" applyBorder="1" applyAlignment="1">
      <alignment horizontal="left" wrapText="1"/>
    </xf>
    <xf numFmtId="0" fontId="4" fillId="2" borderId="1" xfId="0" applyFont="1" applyFill="1" applyBorder="1" applyAlignment="1">
      <alignment/>
    </xf>
    <xf numFmtId="3" fontId="6" fillId="0" borderId="0" xfId="0" applyNumberFormat="1" applyFont="1" applyFill="1" applyBorder="1" applyAlignment="1">
      <alignment/>
    </xf>
    <xf numFmtId="0" fontId="8" fillId="0" borderId="0" xfId="0" applyFont="1" applyFill="1" applyBorder="1" applyAlignment="1">
      <alignment/>
    </xf>
    <xf numFmtId="0" fontId="4" fillId="2" borderId="9" xfId="0" applyFont="1" applyFill="1" applyBorder="1" applyAlignment="1">
      <alignment horizontal="center" vertical="center"/>
    </xf>
    <xf numFmtId="0" fontId="4" fillId="2" borderId="2" xfId="0" applyFont="1" applyFill="1" applyBorder="1" applyAlignment="1">
      <alignment horizontal="centerContinuous" vertical="center"/>
    </xf>
    <xf numFmtId="0" fontId="4" fillId="2" borderId="13" xfId="0" applyFont="1" applyFill="1" applyBorder="1" applyAlignment="1">
      <alignment/>
    </xf>
    <xf numFmtId="0" fontId="8" fillId="0" borderId="0" xfId="0" applyFont="1" applyFill="1" applyAlignment="1">
      <alignment/>
    </xf>
    <xf numFmtId="0" fontId="4" fillId="2" borderId="2" xfId="0" applyFont="1" applyFill="1" applyBorder="1" applyAlignment="1">
      <alignment horizontal="center" vertical="center" wrapText="1"/>
    </xf>
    <xf numFmtId="0" fontId="4" fillId="2" borderId="14" xfId="0" applyFont="1" applyFill="1" applyBorder="1" applyAlignment="1">
      <alignment/>
    </xf>
    <xf numFmtId="0" fontId="4" fillId="2" borderId="3" xfId="0" applyFont="1" applyFill="1" applyBorder="1" applyAlignment="1">
      <alignment horizontal="center" vertical="center" wrapText="1"/>
    </xf>
    <xf numFmtId="0" fontId="4" fillId="5" borderId="0" xfId="0" applyFont="1" applyFill="1" applyBorder="1" applyAlignment="1">
      <alignment/>
    </xf>
    <xf numFmtId="0" fontId="4" fillId="0" borderId="0" xfId="0" applyFont="1" applyFill="1" applyBorder="1" applyAlignment="1">
      <alignment horizontal="center" vertical="center" wrapText="1"/>
    </xf>
    <xf numFmtId="0" fontId="6" fillId="2" borderId="3" xfId="0" applyFont="1" applyFill="1" applyBorder="1" applyAlignment="1">
      <alignment/>
    </xf>
    <xf numFmtId="0" fontId="6" fillId="0" borderId="0" xfId="0" applyFont="1" applyFill="1" applyAlignment="1">
      <alignment horizontal="left"/>
    </xf>
    <xf numFmtId="0" fontId="10" fillId="0" borderId="0" xfId="0" applyFont="1" applyFill="1" applyAlignment="1">
      <alignment/>
    </xf>
    <xf numFmtId="0" fontId="10" fillId="4" borderId="0" xfId="0" applyFont="1" applyFill="1" applyBorder="1" applyAlignment="1">
      <alignment/>
    </xf>
    <xf numFmtId="170" fontId="11" fillId="4" borderId="5" xfId="0" applyNumberFormat="1" applyFont="1" applyFill="1" applyBorder="1" applyAlignment="1">
      <alignment horizontal="left"/>
    </xf>
    <xf numFmtId="170" fontId="11" fillId="4" borderId="5" xfId="0" applyNumberFormat="1" applyFont="1" applyFill="1" applyBorder="1" applyAlignment="1">
      <alignment horizontal="center"/>
    </xf>
    <xf numFmtId="49" fontId="11" fillId="4" borderId="5" xfId="0" applyNumberFormat="1" applyFont="1" applyFill="1" applyBorder="1" applyAlignment="1">
      <alignment horizontal="center"/>
    </xf>
    <xf numFmtId="0" fontId="11" fillId="2" borderId="4" xfId="0" applyFont="1" applyFill="1" applyBorder="1" applyAlignment="1">
      <alignment horizontal="left"/>
    </xf>
    <xf numFmtId="0" fontId="11" fillId="2" borderId="5" xfId="0" applyFont="1" applyFill="1" applyBorder="1" applyAlignment="1">
      <alignment horizontal="left"/>
    </xf>
    <xf numFmtId="0" fontId="11" fillId="2" borderId="6" xfId="0" applyFont="1" applyFill="1" applyBorder="1" applyAlignment="1">
      <alignment horizontal="left"/>
    </xf>
    <xf numFmtId="0" fontId="10" fillId="0" borderId="0" xfId="0" applyFont="1" applyFill="1" applyBorder="1" applyAlignment="1">
      <alignment/>
    </xf>
    <xf numFmtId="0" fontId="10" fillId="2" borderId="9" xfId="0" applyFont="1" applyFill="1" applyBorder="1" applyAlignment="1">
      <alignment/>
    </xf>
    <xf numFmtId="0" fontId="10" fillId="2" borderId="2" xfId="0" applyFont="1" applyFill="1" applyBorder="1" applyAlignment="1">
      <alignment/>
    </xf>
    <xf numFmtId="0" fontId="10" fillId="2" borderId="13" xfId="0" applyFont="1" applyFill="1" applyBorder="1" applyAlignment="1">
      <alignment/>
    </xf>
    <xf numFmtId="0" fontId="11" fillId="2" borderId="10" xfId="0" applyFont="1" applyFill="1" applyBorder="1" applyAlignment="1">
      <alignment horizontal="left"/>
    </xf>
    <xf numFmtId="0" fontId="13" fillId="0" borderId="0" xfId="0" applyFont="1" applyFill="1" applyBorder="1" applyAlignment="1">
      <alignment/>
    </xf>
    <xf numFmtId="49" fontId="10" fillId="2" borderId="1" xfId="0" applyNumberFormat="1" applyFont="1" applyFill="1" applyBorder="1" applyAlignment="1">
      <alignment horizontal="center" vertical="top"/>
    </xf>
    <xf numFmtId="0" fontId="10" fillId="2" borderId="1" xfId="0" applyFont="1" applyFill="1" applyBorder="1" applyAlignment="1">
      <alignment/>
    </xf>
    <xf numFmtId="0" fontId="11" fillId="0" borderId="0" xfId="0" applyFont="1" applyFill="1" applyAlignment="1">
      <alignment/>
    </xf>
    <xf numFmtId="0" fontId="10" fillId="0" borderId="0" xfId="0" applyFont="1" applyFill="1" applyBorder="1" applyAlignment="1">
      <alignment wrapText="1"/>
    </xf>
    <xf numFmtId="0" fontId="11" fillId="2" borderId="9" xfId="0" applyFont="1" applyFill="1" applyBorder="1" applyAlignment="1">
      <alignment/>
    </xf>
    <xf numFmtId="49" fontId="10" fillId="2" borderId="2" xfId="0" applyNumberFormat="1" applyFont="1" applyFill="1" applyBorder="1" applyAlignment="1">
      <alignment horizontal="center" vertical="top"/>
    </xf>
    <xf numFmtId="0" fontId="11" fillId="2" borderId="5" xfId="0" applyFont="1" applyFill="1" applyBorder="1" applyAlignment="1">
      <alignment/>
    </xf>
    <xf numFmtId="0" fontId="11" fillId="2" borderId="6" xfId="0" applyFont="1" applyFill="1" applyBorder="1" applyAlignment="1">
      <alignment/>
    </xf>
    <xf numFmtId="0" fontId="11" fillId="2" borderId="10" xfId="0" applyFont="1" applyFill="1" applyBorder="1" applyAlignment="1">
      <alignment/>
    </xf>
    <xf numFmtId="49" fontId="10" fillId="2" borderId="3" xfId="0" applyNumberFormat="1" applyFont="1" applyFill="1" applyBorder="1" applyAlignment="1">
      <alignment horizontal="center" vertical="top"/>
    </xf>
    <xf numFmtId="0" fontId="10" fillId="2" borderId="3" xfId="0" applyFont="1" applyFill="1" applyBorder="1" applyAlignment="1">
      <alignment/>
    </xf>
    <xf numFmtId="49" fontId="10" fillId="2" borderId="12" xfId="0" applyNumberFormat="1" applyFont="1" applyFill="1" applyBorder="1" applyAlignment="1">
      <alignment horizontal="center" vertical="top"/>
    </xf>
    <xf numFmtId="0" fontId="11" fillId="2" borderId="1" xfId="0" applyFont="1" applyFill="1" applyBorder="1" applyAlignment="1">
      <alignment horizontal="left" wrapText="1"/>
    </xf>
    <xf numFmtId="0" fontId="11" fillId="2" borderId="1" xfId="0" applyFont="1" applyFill="1" applyBorder="1" applyAlignment="1">
      <alignment horizontal="center" wrapText="1"/>
    </xf>
    <xf numFmtId="0" fontId="10" fillId="0" borderId="0" xfId="0" applyFont="1" applyFill="1" applyAlignment="1">
      <alignment horizontal="left" wrapText="1"/>
    </xf>
    <xf numFmtId="0" fontId="11" fillId="2" borderId="12" xfId="0" applyFont="1" applyFill="1" applyBorder="1" applyAlignment="1">
      <alignment horizontal="center" wrapText="1"/>
    </xf>
    <xf numFmtId="49" fontId="11"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0" fontId="10" fillId="0" borderId="0" xfId="0" applyFont="1" applyFill="1" applyBorder="1" applyAlignment="1">
      <alignment horizontal="left" wrapText="1"/>
    </xf>
    <xf numFmtId="0" fontId="10" fillId="2" borderId="1" xfId="0" applyFont="1" applyFill="1" applyBorder="1" applyAlignment="1">
      <alignment horizontal="left" wrapText="1"/>
    </xf>
    <xf numFmtId="0" fontId="10" fillId="0" borderId="0" xfId="0" applyFont="1" applyFill="1" applyAlignment="1">
      <alignment wrapText="1"/>
    </xf>
    <xf numFmtId="0" fontId="6" fillId="2" borderId="4" xfId="0" applyFont="1" applyFill="1" applyBorder="1" applyAlignment="1">
      <alignment horizontal="left" vertical="center" wrapText="1"/>
    </xf>
    <xf numFmtId="170" fontId="6" fillId="2" borderId="5" xfId="0" applyNumberFormat="1" applyFont="1" applyFill="1" applyBorder="1" applyAlignment="1">
      <alignment horizontal="center" wrapText="1"/>
    </xf>
    <xf numFmtId="170" fontId="6" fillId="2" borderId="6" xfId="0" applyNumberFormat="1" applyFont="1" applyFill="1" applyBorder="1" applyAlignment="1">
      <alignment horizontal="center" wrapText="1"/>
    </xf>
    <xf numFmtId="49" fontId="4" fillId="2" borderId="7" xfId="0" applyNumberFormat="1" applyFont="1" applyFill="1" applyBorder="1" applyAlignment="1">
      <alignment horizontal="center" vertical="top"/>
    </xf>
    <xf numFmtId="0" fontId="6" fillId="0" borderId="0" xfId="0" applyFont="1" applyFill="1" applyBorder="1" applyAlignment="1">
      <alignment horizontal="center"/>
    </xf>
    <xf numFmtId="49" fontId="4" fillId="2" borderId="8" xfId="0" applyNumberFormat="1" applyFont="1" applyFill="1" applyBorder="1" applyAlignment="1">
      <alignment horizontal="center" vertical="top"/>
    </xf>
    <xf numFmtId="0" fontId="6" fillId="0" borderId="0" xfId="0" applyFont="1" applyFill="1" applyBorder="1" applyAlignment="1">
      <alignment/>
    </xf>
    <xf numFmtId="49" fontId="4" fillId="2" borderId="1" xfId="0" applyNumberFormat="1" applyFont="1" applyFill="1" applyBorder="1" applyAlignment="1">
      <alignment/>
    </xf>
    <xf numFmtId="0" fontId="4" fillId="0" borderId="1" xfId="0" applyFont="1" applyFill="1" applyBorder="1" applyAlignment="1">
      <alignment/>
    </xf>
    <xf numFmtId="170" fontId="6" fillId="0" borderId="4" xfId="0" applyNumberFormat="1" applyFont="1" applyFill="1" applyBorder="1" applyAlignment="1">
      <alignment horizontal="left"/>
    </xf>
    <xf numFmtId="0" fontId="4" fillId="0" borderId="6" xfId="0" applyFont="1" applyFill="1" applyBorder="1" applyAlignment="1">
      <alignment/>
    </xf>
    <xf numFmtId="0" fontId="4" fillId="0" borderId="1" xfId="0" applyFont="1" applyBorder="1" applyAlignment="1">
      <alignment/>
    </xf>
    <xf numFmtId="49" fontId="4" fillId="2" borderId="2" xfId="0" applyNumberFormat="1" applyFont="1" applyFill="1" applyBorder="1" applyAlignment="1">
      <alignment horizontal="center"/>
    </xf>
    <xf numFmtId="49" fontId="4" fillId="2" borderId="1" xfId="0" applyNumberFormat="1" applyFont="1" applyFill="1" applyBorder="1" applyAlignment="1">
      <alignment horizontal="center"/>
    </xf>
    <xf numFmtId="4" fontId="4" fillId="2" borderId="8" xfId="0" applyNumberFormat="1" applyFont="1" applyFill="1" applyBorder="1" applyAlignment="1">
      <alignment horizontal="center" wrapText="1"/>
    </xf>
    <xf numFmtId="49" fontId="4" fillId="2" borderId="15" xfId="0" applyNumberFormat="1" applyFont="1" applyFill="1" applyBorder="1" applyAlignment="1">
      <alignment horizontal="center" wrapText="1"/>
    </xf>
    <xf numFmtId="0" fontId="6" fillId="2" borderId="4" xfId="0" applyFont="1" applyFill="1" applyBorder="1" applyAlignment="1">
      <alignment/>
    </xf>
    <xf numFmtId="0" fontId="4" fillId="2" borderId="5" xfId="0" applyFont="1" applyFill="1" applyBorder="1" applyAlignment="1">
      <alignment/>
    </xf>
    <xf numFmtId="0" fontId="6" fillId="2" borderId="5" xfId="0" applyFont="1" applyFill="1" applyBorder="1" applyAlignment="1">
      <alignment/>
    </xf>
    <xf numFmtId="0" fontId="4" fillId="0" borderId="0" xfId="0" applyFont="1" applyBorder="1" applyAlignment="1">
      <alignment horizontal="center" wrapText="1"/>
    </xf>
    <xf numFmtId="0" fontId="4" fillId="2" borderId="1" xfId="0" applyFont="1" applyFill="1" applyBorder="1" applyAlignment="1">
      <alignment horizontal="center"/>
    </xf>
    <xf numFmtId="0" fontId="6" fillId="2" borderId="0" xfId="0" applyFont="1" applyFill="1" applyBorder="1" applyAlignment="1">
      <alignment/>
    </xf>
    <xf numFmtId="0" fontId="6" fillId="2" borderId="5" xfId="0" applyFont="1" applyFill="1" applyBorder="1" applyAlignment="1">
      <alignment/>
    </xf>
    <xf numFmtId="0" fontId="4" fillId="2" borderId="6"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170" fontId="6" fillId="0" borderId="2" xfId="0" applyNumberFormat="1" applyFont="1" applyFill="1" applyBorder="1" applyAlignment="1">
      <alignment horizontal="left"/>
    </xf>
    <xf numFmtId="49" fontId="6" fillId="0" borderId="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2" borderId="10" xfId="0" applyFont="1" applyFill="1" applyBorder="1" applyAlignment="1">
      <alignment horizontal="left" wrapText="1"/>
    </xf>
    <xf numFmtId="3" fontId="8"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0" fontId="4" fillId="2" borderId="9" xfId="0" applyFont="1" applyFill="1" applyBorder="1" applyAlignment="1">
      <alignment/>
    </xf>
    <xf numFmtId="0" fontId="4" fillId="2" borderId="13" xfId="0" applyFont="1" applyFill="1" applyBorder="1" applyAlignment="1">
      <alignment horizontal="center" vertical="center" wrapText="1"/>
    </xf>
    <xf numFmtId="49" fontId="4" fillId="0" borderId="0" xfId="0" applyNumberFormat="1" applyFont="1" applyAlignment="1">
      <alignment horizontal="center" wrapText="1"/>
    </xf>
    <xf numFmtId="0" fontId="6" fillId="2" borderId="10" xfId="0" applyFont="1" applyFill="1" applyBorder="1" applyAlignment="1">
      <alignment vertical="center"/>
    </xf>
    <xf numFmtId="170" fontId="6" fillId="2" borderId="3" xfId="0" applyNumberFormat="1" applyFont="1" applyFill="1" applyBorder="1" applyAlignment="1">
      <alignment horizontal="center" wrapText="1"/>
    </xf>
    <xf numFmtId="170" fontId="6" fillId="2" borderId="15" xfId="0" applyNumberFormat="1" applyFont="1" applyFill="1" applyBorder="1" applyAlignment="1">
      <alignment horizontal="center" wrapText="1"/>
    </xf>
    <xf numFmtId="0" fontId="4" fillId="0" borderId="0" xfId="0" applyFont="1" applyBorder="1" applyAlignment="1">
      <alignment wrapText="1"/>
    </xf>
    <xf numFmtId="0" fontId="6" fillId="0" borderId="0" xfId="0" applyFont="1" applyBorder="1" applyAlignment="1">
      <alignment horizontal="left"/>
    </xf>
    <xf numFmtId="0" fontId="6" fillId="0" borderId="0" xfId="0" applyFont="1" applyBorder="1" applyAlignment="1">
      <alignment/>
    </xf>
    <xf numFmtId="49" fontId="6" fillId="2" borderId="1" xfId="0" applyNumberFormat="1" applyFont="1" applyFill="1" applyBorder="1" applyAlignment="1">
      <alignment horizontal="center" wrapText="1"/>
    </xf>
    <xf numFmtId="49" fontId="4" fillId="0" borderId="0" xfId="0" applyNumberFormat="1" applyFont="1" applyBorder="1" applyAlignment="1">
      <alignment horizontal="center" wrapText="1"/>
    </xf>
    <xf numFmtId="0" fontId="4" fillId="0" borderId="0" xfId="0" applyFont="1" applyAlignment="1">
      <alignment horizontal="left" vertical="center"/>
    </xf>
    <xf numFmtId="0" fontId="4" fillId="0" borderId="0" xfId="0" applyFont="1" applyAlignment="1">
      <alignment/>
    </xf>
    <xf numFmtId="0" fontId="6" fillId="2" borderId="4" xfId="0" applyFont="1" applyFill="1" applyBorder="1" applyAlignment="1">
      <alignment horizontal="left" vertical="center"/>
    </xf>
    <xf numFmtId="0" fontId="4" fillId="2" borderId="5" xfId="0" applyFont="1" applyFill="1" applyBorder="1" applyAlignment="1">
      <alignment vertical="top"/>
    </xf>
    <xf numFmtId="0" fontId="4" fillId="2" borderId="5" xfId="0" applyFont="1" applyFill="1" applyBorder="1" applyAlignment="1">
      <alignment horizontal="justify" vertical="top" wrapText="1"/>
    </xf>
    <xf numFmtId="0" fontId="6" fillId="2" borderId="5" xfId="0" applyFont="1" applyFill="1" applyBorder="1" applyAlignment="1">
      <alignment vertical="top"/>
    </xf>
    <xf numFmtId="0" fontId="6" fillId="2" borderId="5" xfId="0" applyFont="1" applyFill="1" applyBorder="1" applyAlignment="1">
      <alignment horizontal="justify" vertical="top" wrapText="1"/>
    </xf>
    <xf numFmtId="49" fontId="6" fillId="2" borderId="1" xfId="0" applyNumberFormat="1" applyFont="1" applyFill="1" applyBorder="1" applyAlignment="1">
      <alignment horizontal="center" vertical="top" wrapText="1"/>
    </xf>
    <xf numFmtId="0" fontId="6" fillId="0" borderId="0" xfId="0" applyFont="1" applyAlignment="1">
      <alignment horizontal="left"/>
    </xf>
    <xf numFmtId="49" fontId="4" fillId="2" borderId="12" xfId="0" applyNumberFormat="1" applyFont="1" applyFill="1" applyBorder="1" applyAlignment="1">
      <alignment horizontal="center" vertical="top"/>
    </xf>
    <xf numFmtId="49" fontId="4" fillId="2" borderId="12" xfId="0" applyNumberFormat="1" applyFont="1" applyFill="1" applyBorder="1" applyAlignment="1">
      <alignment horizontal="center"/>
    </xf>
    <xf numFmtId="0" fontId="6" fillId="0" borderId="0" xfId="0" applyFont="1" applyAlignment="1">
      <alignment horizontal="left" vertical="center"/>
    </xf>
    <xf numFmtId="49" fontId="6" fillId="0" borderId="0" xfId="0" applyNumberFormat="1" applyFont="1" applyAlignment="1">
      <alignment horizontal="center"/>
    </xf>
    <xf numFmtId="0" fontId="6" fillId="0" borderId="0" xfId="0" applyFont="1" applyAlignment="1">
      <alignment/>
    </xf>
    <xf numFmtId="170" fontId="6" fillId="0" borderId="5" xfId="0" applyNumberFormat="1" applyFont="1" applyFill="1" applyBorder="1" applyAlignment="1">
      <alignment horizontal="right"/>
    </xf>
    <xf numFmtId="170" fontId="6" fillId="2" borderId="1" xfId="0" applyNumberFormat="1" applyFont="1" applyFill="1" applyBorder="1" applyAlignment="1">
      <alignment horizontal="center" wrapText="1"/>
    </xf>
    <xf numFmtId="49" fontId="6" fillId="0" borderId="0" xfId="0" applyNumberFormat="1" applyFont="1" applyFill="1" applyBorder="1" applyAlignment="1">
      <alignment horizontal="center"/>
    </xf>
    <xf numFmtId="170" fontId="4" fillId="2" borderId="5" xfId="0" applyNumberFormat="1" applyFont="1" applyFill="1" applyBorder="1" applyAlignment="1">
      <alignment horizontal="left"/>
    </xf>
    <xf numFmtId="170" fontId="4" fillId="2" borderId="6" xfId="0" applyNumberFormat="1" applyFont="1" applyFill="1" applyBorder="1" applyAlignment="1">
      <alignment horizontal="left"/>
    </xf>
    <xf numFmtId="170" fontId="4" fillId="2" borderId="4" xfId="0" applyNumberFormat="1" applyFont="1" applyFill="1" applyBorder="1" applyAlignment="1">
      <alignment horizontal="left"/>
    </xf>
    <xf numFmtId="170" fontId="4" fillId="2" borderId="9" xfId="0" applyNumberFormat="1" applyFont="1" applyFill="1" applyBorder="1" applyAlignment="1">
      <alignment horizontal="left"/>
    </xf>
    <xf numFmtId="170" fontId="6" fillId="2" borderId="2" xfId="0" applyNumberFormat="1" applyFont="1" applyFill="1" applyBorder="1" applyAlignment="1">
      <alignment horizontal="center"/>
    </xf>
    <xf numFmtId="170" fontId="4" fillId="2" borderId="14" xfId="0" applyNumberFormat="1" applyFont="1" applyFill="1" applyBorder="1" applyAlignment="1">
      <alignment horizontal="left"/>
    </xf>
    <xf numFmtId="170" fontId="6" fillId="2" borderId="0" xfId="0" applyNumberFormat="1" applyFont="1" applyFill="1" applyBorder="1" applyAlignment="1">
      <alignment horizontal="center"/>
    </xf>
    <xf numFmtId="170" fontId="4" fillId="2" borderId="10" xfId="0" applyNumberFormat="1" applyFont="1" applyFill="1" applyBorder="1" applyAlignment="1">
      <alignment horizontal="left"/>
    </xf>
    <xf numFmtId="170" fontId="6" fillId="2" borderId="1" xfId="0" applyNumberFormat="1" applyFont="1" applyFill="1" applyBorder="1" applyAlignment="1">
      <alignment horizontal="center"/>
    </xf>
    <xf numFmtId="170" fontId="6" fillId="2" borderId="1" xfId="0" applyNumberFormat="1" applyFont="1" applyFill="1" applyBorder="1" applyAlignment="1">
      <alignment horizontal="left"/>
    </xf>
    <xf numFmtId="0" fontId="4" fillId="2" borderId="1" xfId="0" applyFont="1" applyFill="1" applyBorder="1" applyAlignment="1">
      <alignment horizontal="left"/>
    </xf>
    <xf numFmtId="49" fontId="4" fillId="3" borderId="2" xfId="0" applyNumberFormat="1" applyFont="1" applyFill="1" applyBorder="1" applyAlignment="1">
      <alignment horizontal="center"/>
    </xf>
    <xf numFmtId="170" fontId="6" fillId="3" borderId="2" xfId="0" applyNumberFormat="1" applyFont="1" applyFill="1" applyBorder="1" applyAlignment="1">
      <alignment horizontal="center"/>
    </xf>
    <xf numFmtId="49" fontId="4" fillId="3" borderId="0" xfId="0" applyNumberFormat="1" applyFont="1" applyFill="1" applyBorder="1" applyAlignment="1">
      <alignment horizontal="center"/>
    </xf>
    <xf numFmtId="170" fontId="6" fillId="3" borderId="0" xfId="0" applyNumberFormat="1" applyFont="1" applyFill="1" applyBorder="1" applyAlignment="1">
      <alignment horizontal="center"/>
    </xf>
    <xf numFmtId="0" fontId="4" fillId="3" borderId="0" xfId="0" applyFont="1" applyFill="1" applyBorder="1" applyAlignment="1">
      <alignment/>
    </xf>
    <xf numFmtId="0" fontId="4" fillId="3" borderId="11" xfId="0" applyFont="1" applyFill="1" applyBorder="1" applyAlignment="1">
      <alignment/>
    </xf>
    <xf numFmtId="0" fontId="4" fillId="3" borderId="1" xfId="0" applyFont="1" applyFill="1" applyBorder="1" applyAlignment="1">
      <alignment/>
    </xf>
    <xf numFmtId="0" fontId="6" fillId="3" borderId="1" xfId="0" applyFont="1" applyFill="1" applyBorder="1" applyAlignment="1">
      <alignment/>
    </xf>
    <xf numFmtId="170" fontId="4" fillId="2" borderId="14" xfId="0" applyNumberFormat="1" applyFont="1" applyFill="1" applyBorder="1" applyAlignment="1">
      <alignment/>
    </xf>
    <xf numFmtId="170" fontId="4" fillId="2" borderId="0" xfId="0" applyNumberFormat="1" applyFont="1" applyFill="1" applyBorder="1" applyAlignment="1">
      <alignment/>
    </xf>
    <xf numFmtId="170" fontId="4" fillId="2" borderId="10" xfId="0" applyNumberFormat="1" applyFont="1" applyFill="1" applyBorder="1" applyAlignment="1">
      <alignment/>
    </xf>
    <xf numFmtId="170" fontId="4" fillId="2" borderId="3" xfId="0" applyNumberFormat="1" applyFont="1" applyFill="1" applyBorder="1" applyAlignment="1">
      <alignment/>
    </xf>
    <xf numFmtId="170" fontId="6" fillId="2" borderId="14" xfId="0" applyNumberFormat="1" applyFont="1" applyFill="1" applyBorder="1" applyAlignment="1">
      <alignment/>
    </xf>
    <xf numFmtId="170" fontId="6" fillId="2" borderId="10" xfId="0" applyNumberFormat="1" applyFont="1" applyFill="1" applyBorder="1" applyAlignment="1">
      <alignment/>
    </xf>
    <xf numFmtId="0" fontId="4" fillId="2" borderId="4" xfId="0" applyFont="1" applyFill="1" applyBorder="1" applyAlignment="1">
      <alignment/>
    </xf>
    <xf numFmtId="170" fontId="6" fillId="2" borderId="6" xfId="0" applyNumberFormat="1" applyFont="1" applyFill="1" applyBorder="1" applyAlignment="1">
      <alignment horizontal="right"/>
    </xf>
    <xf numFmtId="0" fontId="6" fillId="2" borderId="16" xfId="0" applyFont="1" applyFill="1" applyBorder="1" applyAlignment="1">
      <alignment/>
    </xf>
    <xf numFmtId="170" fontId="6" fillId="2" borderId="17" xfId="0" applyNumberFormat="1" applyFont="1" applyFill="1" applyBorder="1" applyAlignment="1">
      <alignment horizontal="center"/>
    </xf>
    <xf numFmtId="0" fontId="6" fillId="2" borderId="17" xfId="0" applyFont="1" applyFill="1" applyBorder="1" applyAlignment="1">
      <alignment/>
    </xf>
    <xf numFmtId="49" fontId="6" fillId="2" borderId="17" xfId="0" applyNumberFormat="1" applyFont="1" applyFill="1" applyBorder="1" applyAlignment="1">
      <alignment horizontal="center"/>
    </xf>
    <xf numFmtId="49" fontId="6" fillId="2" borderId="5" xfId="0" applyNumberFormat="1" applyFont="1" applyFill="1" applyBorder="1" applyAlignment="1">
      <alignment horizontal="center" vertical="top" wrapText="1"/>
    </xf>
    <xf numFmtId="0" fontId="6" fillId="2" borderId="6" xfId="0" applyFont="1" applyFill="1" applyBorder="1" applyAlignment="1">
      <alignment horizontal="right"/>
    </xf>
    <xf numFmtId="170" fontId="4" fillId="2" borderId="1" xfId="0" applyNumberFormat="1" applyFont="1" applyFill="1" applyBorder="1" applyAlignment="1">
      <alignment horizontal="left"/>
    </xf>
    <xf numFmtId="170" fontId="4" fillId="2" borderId="1" xfId="0" applyNumberFormat="1" applyFont="1" applyFill="1" applyBorder="1" applyAlignment="1">
      <alignment horizontal="center"/>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4" fillId="2" borderId="13" xfId="0" applyFont="1" applyFill="1" applyBorder="1" applyAlignment="1">
      <alignment vertical="top"/>
    </xf>
    <xf numFmtId="0" fontId="4" fillId="2" borderId="14" xfId="0" applyFont="1" applyFill="1" applyBorder="1" applyAlignment="1">
      <alignment horizontal="left" vertical="center"/>
    </xf>
    <xf numFmtId="0" fontId="4" fillId="2" borderId="11" xfId="0" applyFont="1" applyFill="1" applyBorder="1" applyAlignment="1">
      <alignment vertical="top"/>
    </xf>
    <xf numFmtId="0" fontId="4" fillId="2" borderId="10" xfId="0" applyFont="1" applyFill="1" applyBorder="1" applyAlignment="1">
      <alignment horizontal="left" vertical="center"/>
    </xf>
    <xf numFmtId="0" fontId="4" fillId="2" borderId="15" xfId="0" applyFont="1" applyFill="1" applyBorder="1" applyAlignment="1">
      <alignment vertical="top"/>
    </xf>
    <xf numFmtId="0" fontId="4" fillId="2" borderId="0" xfId="0" applyFont="1" applyFill="1" applyBorder="1" applyAlignment="1">
      <alignment vertical="top"/>
    </xf>
    <xf numFmtId="0" fontId="4" fillId="2" borderId="3" xfId="0" applyFont="1" applyFill="1" applyBorder="1" applyAlignment="1">
      <alignment vertical="top"/>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3" fontId="6" fillId="0" borderId="0" xfId="0" applyNumberFormat="1" applyFont="1" applyFill="1" applyBorder="1" applyAlignment="1">
      <alignment horizontal="center"/>
    </xf>
    <xf numFmtId="49" fontId="4" fillId="2" borderId="0" xfId="0" applyNumberFormat="1" applyFont="1" applyFill="1" applyBorder="1" applyAlignment="1">
      <alignment horizontal="center"/>
    </xf>
    <xf numFmtId="0" fontId="4" fillId="2" borderId="0" xfId="0" applyFont="1" applyFill="1" applyAlignment="1">
      <alignment/>
    </xf>
    <xf numFmtId="0" fontId="4" fillId="2" borderId="0" xfId="0" applyFont="1" applyFill="1" applyBorder="1" applyAlignment="1">
      <alignment horizontal="right"/>
    </xf>
    <xf numFmtId="0" fontId="7" fillId="2" borderId="1" xfId="0" applyFont="1" applyFill="1" applyBorder="1" applyAlignment="1">
      <alignment horizontal="center"/>
    </xf>
    <xf numFmtId="170" fontId="6" fillId="2" borderId="5" xfId="0" applyNumberFormat="1" applyFont="1" applyFill="1" applyBorder="1" applyAlignment="1">
      <alignment horizontal="left"/>
    </xf>
    <xf numFmtId="0" fontId="1" fillId="2" borderId="1" xfId="0" applyFont="1" applyFill="1" applyBorder="1" applyAlignment="1">
      <alignment/>
    </xf>
    <xf numFmtId="0" fontId="1" fillId="2" borderId="1" xfId="0" applyNumberFormat="1" applyFont="1" applyFill="1" applyBorder="1" applyAlignment="1">
      <alignment/>
    </xf>
    <xf numFmtId="0" fontId="4" fillId="0" borderId="0" xfId="0" applyFont="1" applyFill="1" applyAlignment="1">
      <alignment/>
    </xf>
    <xf numFmtId="0" fontId="4" fillId="4" borderId="0" xfId="0" applyFont="1" applyFill="1" applyAlignment="1">
      <alignment/>
    </xf>
    <xf numFmtId="0" fontId="6" fillId="0" borderId="0" xfId="0" applyFont="1" applyFill="1" applyAlignment="1">
      <alignment/>
    </xf>
    <xf numFmtId="170" fontId="4" fillId="2" borderId="4" xfId="0" applyNumberFormat="1" applyFont="1" applyFill="1" applyBorder="1" applyAlignment="1">
      <alignment/>
    </xf>
    <xf numFmtId="170" fontId="4" fillId="2" borderId="5" xfId="0" applyNumberFormat="1" applyFont="1" applyFill="1" applyBorder="1" applyAlignment="1">
      <alignment/>
    </xf>
    <xf numFmtId="170" fontId="6" fillId="2" borderId="0" xfId="0" applyNumberFormat="1" applyFont="1" applyFill="1" applyBorder="1" applyAlignment="1">
      <alignment/>
    </xf>
    <xf numFmtId="170" fontId="6" fillId="2" borderId="3" xfId="0" applyNumberFormat="1" applyFont="1" applyFill="1" applyBorder="1" applyAlignment="1">
      <alignment/>
    </xf>
    <xf numFmtId="0" fontId="6" fillId="2" borderId="0" xfId="0" applyFont="1" applyFill="1" applyBorder="1" applyAlignment="1">
      <alignment wrapText="1"/>
    </xf>
    <xf numFmtId="0" fontId="4" fillId="2" borderId="0" xfId="0" applyFont="1" applyFill="1" applyBorder="1" applyAlignment="1">
      <alignment wrapText="1"/>
    </xf>
    <xf numFmtId="0" fontId="4" fillId="2" borderId="0" xfId="0" applyFont="1" applyFill="1" applyBorder="1" applyAlignment="1">
      <alignment horizontal="left" wrapText="1" indent="2"/>
    </xf>
    <xf numFmtId="0" fontId="4" fillId="3" borderId="2" xfId="0" applyFont="1" applyFill="1" applyBorder="1" applyAlignment="1">
      <alignment/>
    </xf>
    <xf numFmtId="0" fontId="6" fillId="3" borderId="13" xfId="0" applyFont="1" applyFill="1" applyBorder="1" applyAlignment="1">
      <alignment horizontal="center"/>
    </xf>
    <xf numFmtId="0" fontId="6" fillId="3" borderId="11" xfId="0" applyFont="1" applyFill="1" applyBorder="1" applyAlignment="1">
      <alignment horizontal="center"/>
    </xf>
    <xf numFmtId="0" fontId="4" fillId="3" borderId="3" xfId="0" applyFont="1" applyFill="1" applyBorder="1" applyAlignment="1">
      <alignment/>
    </xf>
    <xf numFmtId="0" fontId="4" fillId="3" borderId="15" xfId="0" applyFont="1" applyFill="1" applyBorder="1" applyAlignment="1">
      <alignment/>
    </xf>
    <xf numFmtId="170" fontId="6" fillId="3" borderId="2" xfId="0" applyNumberFormat="1" applyFont="1" applyFill="1" applyBorder="1" applyAlignment="1">
      <alignment horizontal="left"/>
    </xf>
    <xf numFmtId="0" fontId="4" fillId="3" borderId="2" xfId="0" applyFont="1" applyFill="1" applyBorder="1" applyAlignment="1">
      <alignment horizontal="left"/>
    </xf>
    <xf numFmtId="0" fontId="4" fillId="3" borderId="2" xfId="0" applyNumberFormat="1" applyFont="1" applyFill="1" applyBorder="1" applyAlignment="1">
      <alignment horizontal="left"/>
    </xf>
    <xf numFmtId="49" fontId="4" fillId="3" borderId="2" xfId="0" applyNumberFormat="1" applyFont="1" applyFill="1" applyBorder="1" applyAlignment="1">
      <alignment horizontal="left"/>
    </xf>
    <xf numFmtId="170" fontId="6"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NumberFormat="1" applyFont="1" applyFill="1" applyBorder="1" applyAlignment="1">
      <alignment horizontal="left"/>
    </xf>
    <xf numFmtId="49" fontId="4" fillId="3" borderId="0" xfId="0" applyNumberFormat="1" applyFont="1" applyFill="1" applyBorder="1" applyAlignment="1">
      <alignment horizontal="left"/>
    </xf>
    <xf numFmtId="170" fontId="6" fillId="2" borderId="2" xfId="0" applyNumberFormat="1" applyFont="1" applyFill="1" applyBorder="1" applyAlignment="1">
      <alignment horizontal="left"/>
    </xf>
    <xf numFmtId="0" fontId="4" fillId="2" borderId="2" xfId="0" applyFont="1" applyFill="1" applyBorder="1" applyAlignment="1">
      <alignment horizontal="left"/>
    </xf>
    <xf numFmtId="170" fontId="6" fillId="2" borderId="0" xfId="0" applyNumberFormat="1" applyFont="1" applyFill="1" applyBorder="1" applyAlignment="1">
      <alignment horizontal="left"/>
    </xf>
    <xf numFmtId="0" fontId="4" fillId="2" borderId="0" xfId="0" applyFont="1" applyFill="1" applyBorder="1" applyAlignment="1">
      <alignment horizontal="left"/>
    </xf>
    <xf numFmtId="170" fontId="6" fillId="2" borderId="13" xfId="0" applyNumberFormat="1" applyFont="1" applyFill="1" applyBorder="1" applyAlignment="1">
      <alignment horizontal="left"/>
    </xf>
    <xf numFmtId="170" fontId="6" fillId="2" borderId="11" xfId="0" applyNumberFormat="1" applyFont="1" applyFill="1" applyBorder="1" applyAlignment="1">
      <alignment horizontal="left"/>
    </xf>
    <xf numFmtId="49" fontId="4" fillId="2" borderId="14" xfId="0" applyNumberFormat="1" applyFont="1" applyFill="1" applyBorder="1" applyAlignment="1">
      <alignment horizontal="center" wrapText="1"/>
    </xf>
    <xf numFmtId="0" fontId="6" fillId="2" borderId="3" xfId="0" applyFont="1" applyFill="1" applyBorder="1" applyAlignment="1">
      <alignment wrapText="1"/>
    </xf>
    <xf numFmtId="170" fontId="4" fillId="2" borderId="3" xfId="0" applyNumberFormat="1" applyFont="1" applyFill="1" applyBorder="1" applyAlignment="1">
      <alignment horizontal="left"/>
    </xf>
    <xf numFmtId="170" fontId="6" fillId="2" borderId="13" xfId="0" applyNumberFormat="1" applyFont="1" applyFill="1" applyBorder="1" applyAlignment="1">
      <alignment horizontal="center"/>
    </xf>
    <xf numFmtId="170" fontId="6" fillId="2" borderId="11" xfId="0" applyNumberFormat="1" applyFont="1" applyFill="1" applyBorder="1" applyAlignment="1">
      <alignment horizontal="center"/>
    </xf>
    <xf numFmtId="170" fontId="10" fillId="2" borderId="12" xfId="0" applyNumberFormat="1" applyFont="1" applyFill="1" applyBorder="1" applyAlignment="1">
      <alignment horizontal="left"/>
    </xf>
    <xf numFmtId="170" fontId="10" fillId="2" borderId="7" xfId="0" applyNumberFormat="1" applyFont="1" applyFill="1" applyBorder="1" applyAlignment="1">
      <alignment horizontal="left"/>
    </xf>
    <xf numFmtId="170" fontId="10" fillId="2" borderId="8" xfId="0" applyNumberFormat="1" applyFont="1" applyFill="1" applyBorder="1" applyAlignment="1">
      <alignment horizontal="left"/>
    </xf>
    <xf numFmtId="0" fontId="4" fillId="2" borderId="10" xfId="0" applyFont="1" applyFill="1" applyBorder="1" applyAlignment="1">
      <alignment/>
    </xf>
    <xf numFmtId="49" fontId="4" fillId="3" borderId="8" xfId="0" applyNumberFormat="1" applyFont="1" applyFill="1" applyBorder="1" applyAlignment="1">
      <alignment horizontal="center" wrapText="1"/>
    </xf>
    <xf numFmtId="0" fontId="6" fillId="2" borderId="8" xfId="0" applyFont="1" applyFill="1" applyBorder="1" applyAlignment="1">
      <alignment/>
    </xf>
    <xf numFmtId="0" fontId="6" fillId="3" borderId="5" xfId="0" applyFont="1" applyFill="1" applyBorder="1" applyAlignment="1">
      <alignment/>
    </xf>
    <xf numFmtId="49" fontId="4" fillId="2" borderId="3" xfId="0" applyNumberFormat="1"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horizontal="centerContinuous" vertical="center"/>
    </xf>
    <xf numFmtId="0" fontId="4" fillId="2" borderId="3" xfId="0" applyFont="1" applyFill="1" applyBorder="1" applyAlignment="1">
      <alignment vertic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49" fontId="4" fillId="3" borderId="1" xfId="0" applyNumberFormat="1" applyFont="1" applyFill="1" applyBorder="1" applyAlignment="1">
      <alignment horizontal="center" wrapText="1"/>
    </xf>
    <xf numFmtId="49" fontId="4" fillId="3" borderId="7" xfId="0" applyNumberFormat="1" applyFont="1" applyFill="1" applyBorder="1" applyAlignment="1">
      <alignment horizontal="center" wrapText="1"/>
    </xf>
    <xf numFmtId="0" fontId="6" fillId="3" borderId="12" xfId="0" applyFont="1" applyFill="1" applyBorder="1" applyAlignment="1">
      <alignment/>
    </xf>
    <xf numFmtId="3" fontId="6" fillId="3" borderId="5" xfId="0" applyNumberFormat="1" applyFont="1" applyFill="1" applyBorder="1" applyAlignment="1">
      <alignment/>
    </xf>
    <xf numFmtId="0" fontId="4" fillId="2" borderId="0" xfId="0" applyFont="1" applyFill="1" applyBorder="1" applyAlignment="1">
      <alignment horizontal="left" vertical="justify"/>
    </xf>
    <xf numFmtId="0" fontId="4" fillId="2" borderId="0" xfId="0" applyFont="1" applyFill="1" applyBorder="1" applyAlignment="1">
      <alignment horizontal="centerContinuous" vertical="justify"/>
    </xf>
    <xf numFmtId="170" fontId="4" fillId="2" borderId="2" xfId="0" applyNumberFormat="1" applyFont="1" applyFill="1" applyBorder="1" applyAlignment="1">
      <alignment horizontal="left"/>
    </xf>
    <xf numFmtId="170" fontId="4" fillId="2" borderId="0" xfId="0" applyNumberFormat="1" applyFont="1" applyFill="1" applyBorder="1" applyAlignment="1">
      <alignment horizontal="left"/>
    </xf>
    <xf numFmtId="0" fontId="4" fillId="2" borderId="2"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xf>
    <xf numFmtId="0" fontId="4" fillId="0" borderId="0" xfId="0" applyFont="1" applyFill="1" applyAlignment="1">
      <alignment horizontal="center"/>
    </xf>
    <xf numFmtId="4" fontId="4"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4" fillId="0" borderId="0" xfId="0" applyFont="1" applyAlignment="1">
      <alignment horizontal="right"/>
    </xf>
    <xf numFmtId="0" fontId="4" fillId="0" borderId="0" xfId="0" applyFont="1" applyFill="1" applyAlignment="1">
      <alignment horizontal="right"/>
    </xf>
    <xf numFmtId="0" fontId="4" fillId="0" borderId="0" xfId="0" applyFont="1" applyBorder="1" applyAlignment="1">
      <alignment horizontal="right"/>
    </xf>
    <xf numFmtId="0" fontId="4" fillId="0" borderId="0" xfId="0" applyFont="1" applyAlignment="1">
      <alignment horizontal="right"/>
    </xf>
    <xf numFmtId="3" fontId="6" fillId="0" borderId="5" xfId="0" applyNumberFormat="1" applyFont="1" applyFill="1" applyBorder="1" applyAlignment="1" applyProtection="1">
      <alignment horizontal="right" vertical="top"/>
      <protection locked="0"/>
    </xf>
    <xf numFmtId="3" fontId="6" fillId="0" borderId="4" xfId="0" applyNumberFormat="1" applyFont="1" applyFill="1" applyBorder="1" applyAlignment="1" applyProtection="1">
      <alignment horizontal="right" vertical="top"/>
      <protection locked="0"/>
    </xf>
    <xf numFmtId="3" fontId="4" fillId="0" borderId="0" xfId="0" applyNumberFormat="1" applyFont="1" applyAlignment="1">
      <alignment/>
    </xf>
    <xf numFmtId="3" fontId="6" fillId="2" borderId="17"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0"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0" xfId="0" applyNumberFormat="1" applyFont="1" applyAlignment="1">
      <alignment horizontal="right"/>
    </xf>
    <xf numFmtId="3" fontId="6" fillId="2" borderId="18" xfId="0" applyNumberFormat="1" applyFont="1" applyFill="1" applyBorder="1" applyAlignment="1">
      <alignment horizontal="right"/>
    </xf>
    <xf numFmtId="3" fontId="4" fillId="0" borderId="5"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4" fillId="0" borderId="3" xfId="0" applyNumberFormat="1" applyFont="1" applyFill="1" applyBorder="1" applyAlignment="1" applyProtection="1">
      <alignment horizontal="right"/>
      <protection locked="0"/>
    </xf>
    <xf numFmtId="3" fontId="4" fillId="0" borderId="1" xfId="0" applyNumberFormat="1" applyFont="1" applyFill="1" applyBorder="1" applyAlignment="1" applyProtection="1">
      <alignment horizontal="right"/>
      <protection locked="0"/>
    </xf>
    <xf numFmtId="3" fontId="4" fillId="0" borderId="6" xfId="0" applyNumberFormat="1" applyFont="1" applyFill="1" applyBorder="1" applyAlignment="1" applyProtection="1">
      <alignment horizontal="right"/>
      <protection locked="0"/>
    </xf>
    <xf numFmtId="3" fontId="4" fillId="0" borderId="7" xfId="0" applyNumberFormat="1" applyFont="1" applyFill="1" applyBorder="1" applyAlignment="1" applyProtection="1">
      <alignment horizontal="right"/>
      <protection locked="0"/>
    </xf>
    <xf numFmtId="3" fontId="4" fillId="0" borderId="8"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3" fontId="4" fillId="0" borderId="7" xfId="0"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locked="0"/>
    </xf>
    <xf numFmtId="3" fontId="4" fillId="0" borderId="12" xfId="0" applyNumberFormat="1" applyFont="1" applyFill="1" applyBorder="1" applyAlignment="1" applyProtection="1">
      <alignment horizontal="right"/>
      <protection locked="0"/>
    </xf>
    <xf numFmtId="3" fontId="6" fillId="0" borderId="5" xfId="0" applyNumberFormat="1" applyFont="1" applyFill="1" applyBorder="1" applyAlignment="1" applyProtection="1">
      <alignment horizontal="right"/>
      <protection locked="0"/>
    </xf>
    <xf numFmtId="3" fontId="6" fillId="0" borderId="1" xfId="0" applyNumberFormat="1" applyFont="1" applyFill="1" applyBorder="1" applyAlignment="1" applyProtection="1">
      <alignment horizontal="right"/>
      <protection locked="0"/>
    </xf>
    <xf numFmtId="3" fontId="4" fillId="0" borderId="7" xfId="0" applyNumberFormat="1" applyFont="1" applyFill="1" applyBorder="1" applyAlignment="1" applyProtection="1">
      <alignment horizontal="right"/>
      <protection locked="0"/>
    </xf>
    <xf numFmtId="3" fontId="4" fillId="0" borderId="12" xfId="0" applyNumberFormat="1" applyFont="1" applyBorder="1" applyAlignment="1" applyProtection="1">
      <alignment horizontal="right" vertical="top"/>
      <protection locked="0"/>
    </xf>
    <xf numFmtId="3" fontId="4" fillId="0" borderId="7" xfId="0" applyNumberFormat="1" applyFont="1" applyBorder="1" applyAlignment="1" applyProtection="1">
      <alignment horizontal="right" vertical="top"/>
      <protection locked="0"/>
    </xf>
    <xf numFmtId="3" fontId="4" fillId="0" borderId="8" xfId="0" applyNumberFormat="1" applyFont="1" applyBorder="1" applyAlignment="1" applyProtection="1">
      <alignment horizontal="right" vertical="top"/>
      <protection locked="0"/>
    </xf>
    <xf numFmtId="3" fontId="4" fillId="0" borderId="8" xfId="0" applyNumberFormat="1" applyFont="1" applyFill="1" applyBorder="1" applyAlignment="1" applyProtection="1">
      <alignment horizontal="right"/>
      <protection locked="0"/>
    </xf>
    <xf numFmtId="3" fontId="4" fillId="0" borderId="15" xfId="0" applyNumberFormat="1" applyFont="1" applyBorder="1" applyAlignment="1" applyProtection="1">
      <alignment horizontal="right"/>
      <protection locked="0"/>
    </xf>
    <xf numFmtId="3" fontId="4" fillId="0" borderId="3" xfId="0" applyNumberFormat="1" applyFont="1" applyBorder="1" applyAlignment="1" applyProtection="1">
      <alignment horizontal="right"/>
      <protection locked="0"/>
    </xf>
    <xf numFmtId="4" fontId="4"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pplyProtection="1">
      <alignment horizontal="right" vertical="top"/>
      <protection locked="0"/>
    </xf>
    <xf numFmtId="3" fontId="4" fillId="0" borderId="3" xfId="0" applyNumberFormat="1" applyFont="1" applyFill="1" applyBorder="1" applyAlignment="1" applyProtection="1">
      <alignment horizontal="right" vertical="top"/>
      <protection locked="0"/>
    </xf>
    <xf numFmtId="3" fontId="4" fillId="0" borderId="7" xfId="0" applyNumberFormat="1" applyFont="1" applyFill="1" applyBorder="1" applyAlignment="1" applyProtection="1">
      <alignment horizontal="right" vertical="top"/>
      <protection locked="0"/>
    </xf>
    <xf numFmtId="3" fontId="4" fillId="0" borderId="12" xfId="0" applyNumberFormat="1" applyFont="1" applyFill="1" applyBorder="1" applyAlignment="1" applyProtection="1">
      <alignment horizontal="right" vertical="top"/>
      <protection locked="0"/>
    </xf>
    <xf numFmtId="3" fontId="6" fillId="0" borderId="1" xfId="0" applyNumberFormat="1" applyFont="1" applyFill="1" applyBorder="1" applyAlignment="1" applyProtection="1">
      <alignment horizontal="right" vertical="top"/>
      <protection locked="0"/>
    </xf>
    <xf numFmtId="4" fontId="6" fillId="0" borderId="5" xfId="0" applyNumberFormat="1" applyFont="1" applyFill="1" applyBorder="1" applyAlignment="1" applyProtection="1">
      <alignment horizontal="right" vertical="top"/>
      <protection locked="0"/>
    </xf>
    <xf numFmtId="4" fontId="4" fillId="0" borderId="3" xfId="0" applyNumberFormat="1" applyFont="1" applyFill="1" applyBorder="1" applyAlignment="1" applyProtection="1">
      <alignment horizontal="right" vertical="top"/>
      <protection locked="0"/>
    </xf>
    <xf numFmtId="4" fontId="4" fillId="0" borderId="12" xfId="0" applyNumberFormat="1" applyFont="1" applyFill="1" applyBorder="1" applyAlignment="1" applyProtection="1">
      <alignment horizontal="right" vertical="top" wrapText="1"/>
      <protection locked="0"/>
    </xf>
    <xf numFmtId="4" fontId="4" fillId="0" borderId="7" xfId="0" applyNumberFormat="1" applyFont="1" applyFill="1" applyBorder="1" applyAlignment="1" applyProtection="1">
      <alignment horizontal="right" vertical="top" wrapText="1"/>
      <protection locked="0"/>
    </xf>
    <xf numFmtId="4" fontId="6" fillId="0" borderId="1" xfId="0" applyNumberFormat="1" applyFont="1" applyFill="1" applyBorder="1" applyAlignment="1" applyProtection="1">
      <alignment horizontal="right" vertical="top"/>
      <protection locked="0"/>
    </xf>
    <xf numFmtId="49" fontId="4" fillId="2" borderId="5" xfId="0" applyNumberFormat="1" applyFont="1" applyFill="1" applyBorder="1" applyAlignment="1">
      <alignment horizontal="left"/>
    </xf>
    <xf numFmtId="49" fontId="4" fillId="2" borderId="6" xfId="0" applyNumberFormat="1" applyFont="1" applyFill="1" applyBorder="1" applyAlignment="1">
      <alignment horizontal="left"/>
    </xf>
    <xf numFmtId="3" fontId="4" fillId="0" borderId="3" xfId="0" applyNumberFormat="1" applyFont="1" applyFill="1" applyBorder="1" applyAlignment="1" applyProtection="1">
      <alignment horizontal="right"/>
      <protection/>
    </xf>
    <xf numFmtId="49" fontId="4" fillId="3" borderId="5" xfId="0" applyNumberFormat="1" applyFont="1" applyFill="1" applyBorder="1" applyAlignment="1">
      <alignment horizontal="center"/>
    </xf>
    <xf numFmtId="170" fontId="4" fillId="3" borderId="5" xfId="0" applyNumberFormat="1" applyFont="1" applyFill="1" applyBorder="1" applyAlignment="1">
      <alignment horizontal="left"/>
    </xf>
    <xf numFmtId="0" fontId="4" fillId="3" borderId="5" xfId="0" applyFont="1" applyFill="1" applyBorder="1" applyAlignment="1">
      <alignment/>
    </xf>
    <xf numFmtId="0" fontId="4" fillId="3" borderId="6" xfId="0" applyFont="1" applyFill="1" applyBorder="1" applyAlignment="1">
      <alignment/>
    </xf>
    <xf numFmtId="49" fontId="4" fillId="3" borderId="5" xfId="0" applyNumberFormat="1" applyFont="1" applyFill="1" applyBorder="1" applyAlignment="1" applyProtection="1">
      <alignment/>
      <protection locked="0"/>
    </xf>
    <xf numFmtId="3" fontId="4" fillId="0" borderId="5" xfId="0" applyNumberFormat="1" applyFont="1" applyFill="1" applyBorder="1" applyAlignment="1" applyProtection="1">
      <alignment horizontal="right"/>
      <protection/>
    </xf>
    <xf numFmtId="3" fontId="4" fillId="0" borderId="2" xfId="0" applyNumberFormat="1" applyFont="1" applyFill="1" applyBorder="1" applyAlignment="1" applyProtection="1">
      <alignment horizontal="right"/>
      <protection/>
    </xf>
    <xf numFmtId="3" fontId="4" fillId="0" borderId="12" xfId="0" applyNumberFormat="1" applyFont="1" applyFill="1" applyBorder="1" applyAlignment="1" applyProtection="1">
      <alignment horizontal="right"/>
      <protection/>
    </xf>
    <xf numFmtId="3" fontId="4" fillId="6" borderId="1" xfId="0" applyNumberFormat="1" applyFont="1" applyFill="1" applyBorder="1" applyAlignment="1" applyProtection="1">
      <alignment horizontal="right"/>
      <protection/>
    </xf>
    <xf numFmtId="3" fontId="4" fillId="0" borderId="6" xfId="0" applyNumberFormat="1" applyFont="1" applyFill="1" applyBorder="1" applyAlignment="1" applyProtection="1">
      <alignment horizontal="right"/>
      <protection/>
    </xf>
    <xf numFmtId="0" fontId="0" fillId="0" borderId="0" xfId="0" applyAlignment="1">
      <alignment/>
    </xf>
    <xf numFmtId="0" fontId="16" fillId="0" borderId="0" xfId="0" applyFont="1" applyFill="1" applyBorder="1" applyAlignment="1">
      <alignment vertical="center" wrapText="1"/>
    </xf>
    <xf numFmtId="0" fontId="1" fillId="0" borderId="1" xfId="0" applyFont="1" applyFill="1" applyBorder="1" applyAlignment="1">
      <alignment/>
    </xf>
    <xf numFmtId="0" fontId="15" fillId="0" borderId="11" xfId="0" applyFont="1" applyFill="1" applyBorder="1" applyAlignment="1">
      <alignment vertical="center" wrapText="1"/>
    </xf>
    <xf numFmtId="49" fontId="6" fillId="2" borderId="1" xfId="0" applyNumberFormat="1" applyFont="1" applyFill="1" applyBorder="1" applyAlignment="1">
      <alignment horizontal="center"/>
    </xf>
    <xf numFmtId="0" fontId="6" fillId="2" borderId="15" xfId="0" applyFont="1" applyFill="1" applyBorder="1" applyAlignment="1">
      <alignment horizontal="center" wrapText="1"/>
    </xf>
    <xf numFmtId="4" fontId="4" fillId="0" borderId="9" xfId="0" applyNumberFormat="1" applyFont="1" applyFill="1" applyBorder="1" applyAlignment="1" applyProtection="1">
      <alignment horizontal="right" vertical="top"/>
      <protection locked="0"/>
    </xf>
    <xf numFmtId="4" fontId="4" fillId="0" borderId="2" xfId="0" applyNumberFormat="1" applyFont="1" applyFill="1" applyBorder="1" applyAlignment="1" applyProtection="1">
      <alignment horizontal="right" vertical="top"/>
      <protection locked="0"/>
    </xf>
    <xf numFmtId="4" fontId="4" fillId="0" borderId="13" xfId="0" applyNumberFormat="1" applyFont="1" applyFill="1" applyBorder="1" applyAlignment="1" applyProtection="1">
      <alignment horizontal="right" vertical="top"/>
      <protection locked="0"/>
    </xf>
    <xf numFmtId="3" fontId="6" fillId="0" borderId="9" xfId="0" applyNumberFormat="1" applyFont="1" applyFill="1" applyBorder="1" applyAlignment="1" applyProtection="1">
      <alignment horizontal="right" vertical="top"/>
      <protection locked="0"/>
    </xf>
    <xf numFmtId="3" fontId="6" fillId="0" borderId="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wrapText="1"/>
      <protection locked="0"/>
    </xf>
    <xf numFmtId="0" fontId="1" fillId="2" borderId="1" xfId="0" applyFont="1" applyFill="1" applyBorder="1" applyAlignment="1">
      <alignment/>
    </xf>
    <xf numFmtId="170" fontId="4" fillId="2" borderId="9" xfId="0" applyNumberFormat="1" applyFont="1" applyFill="1" applyBorder="1" applyAlignment="1">
      <alignment horizontal="left" wrapText="1"/>
    </xf>
    <xf numFmtId="49" fontId="4" fillId="3" borderId="2" xfId="0" applyNumberFormat="1" applyFont="1" applyFill="1" applyBorder="1" applyAlignment="1">
      <alignment horizontal="center" wrapText="1"/>
    </xf>
    <xf numFmtId="170" fontId="4" fillId="2" borderId="14" xfId="0" applyNumberFormat="1" applyFont="1" applyFill="1" applyBorder="1" applyAlignment="1">
      <alignment horizontal="left" wrapText="1"/>
    </xf>
    <xf numFmtId="49" fontId="4" fillId="3" borderId="0" xfId="0" applyNumberFormat="1" applyFont="1" applyFill="1" applyBorder="1" applyAlignment="1">
      <alignment horizontal="center" wrapText="1"/>
    </xf>
    <xf numFmtId="49" fontId="4" fillId="3" borderId="3" xfId="0" applyNumberFormat="1" applyFont="1" applyFill="1" applyBorder="1" applyAlignment="1">
      <alignment horizontal="center" wrapText="1"/>
    </xf>
    <xf numFmtId="170" fontId="6" fillId="0" borderId="5" xfId="0" applyNumberFormat="1" applyFont="1" applyFill="1" applyBorder="1" applyAlignment="1">
      <alignment horizontal="left" wrapText="1"/>
    </xf>
    <xf numFmtId="0" fontId="4" fillId="2" borderId="9" xfId="0" applyFont="1" applyFill="1" applyBorder="1" applyAlignment="1">
      <alignment wrapText="1"/>
    </xf>
    <xf numFmtId="49" fontId="4" fillId="2" borderId="7" xfId="0" applyNumberFormat="1" applyFont="1" applyFill="1" applyBorder="1" applyAlignment="1">
      <alignment horizontal="center" vertical="top" wrapText="1"/>
    </xf>
    <xf numFmtId="3" fontId="4" fillId="0" borderId="2" xfId="0" applyNumberFormat="1" applyFont="1" applyFill="1" applyBorder="1" applyAlignment="1" applyProtection="1">
      <alignment horizontal="right" wrapText="1"/>
      <protection locked="0"/>
    </xf>
    <xf numFmtId="0" fontId="4" fillId="2" borderId="14" xfId="0" applyFont="1" applyFill="1" applyBorder="1" applyAlignment="1">
      <alignment wrapText="1"/>
    </xf>
    <xf numFmtId="4" fontId="4" fillId="0" borderId="0" xfId="0" applyNumberFormat="1" applyFont="1" applyFill="1" applyBorder="1" applyAlignment="1" applyProtection="1">
      <alignment horizontal="right" wrapText="1"/>
      <protection locked="0"/>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wrapText="1"/>
      <protection locked="0"/>
    </xf>
    <xf numFmtId="0" fontId="4" fillId="2" borderId="10" xfId="0" applyFont="1" applyFill="1" applyBorder="1" applyAlignment="1">
      <alignment wrapText="1"/>
    </xf>
    <xf numFmtId="49" fontId="4" fillId="2" borderId="8" xfId="0" applyNumberFormat="1" applyFont="1" applyFill="1" applyBorder="1" applyAlignment="1">
      <alignment horizontal="center" vertical="top" wrapText="1"/>
    </xf>
    <xf numFmtId="0" fontId="6" fillId="2" borderId="1" xfId="0" applyFont="1" applyFill="1" applyBorder="1" applyAlignment="1">
      <alignment wrapText="1"/>
    </xf>
    <xf numFmtId="49" fontId="6" fillId="2" borderId="1" xfId="0" applyNumberFormat="1" applyFont="1" applyFill="1" applyBorder="1" applyAlignment="1">
      <alignment horizontal="center" wrapText="1"/>
    </xf>
    <xf numFmtId="49" fontId="4" fillId="0" borderId="12" xfId="0" applyNumberFormat="1" applyFont="1" applyFill="1" applyBorder="1" applyAlignment="1" applyProtection="1">
      <alignment horizontal="center" vertical="top" wrapText="1"/>
      <protection locked="0"/>
    </xf>
    <xf numFmtId="49" fontId="4" fillId="0" borderId="12" xfId="0" applyNumberFormat="1" applyFont="1" applyFill="1" applyBorder="1" applyAlignment="1" applyProtection="1">
      <alignment horizontal="center" vertical="top" wrapText="1"/>
      <protection locked="0"/>
    </xf>
    <xf numFmtId="49" fontId="4" fillId="0" borderId="7" xfId="0" applyNumberFormat="1" applyFont="1" applyFill="1" applyBorder="1" applyAlignment="1" applyProtection="1">
      <alignment horizontal="center" vertical="top" wrapText="1"/>
      <protection locked="0"/>
    </xf>
    <xf numFmtId="49" fontId="4" fillId="0" borderId="7" xfId="0" applyNumberFormat="1" applyFont="1" applyFill="1" applyBorder="1" applyAlignment="1" applyProtection="1">
      <alignment horizontal="center" vertical="top" wrapText="1"/>
      <protection locked="0"/>
    </xf>
    <xf numFmtId="0" fontId="4" fillId="2" borderId="8" xfId="0" applyFont="1" applyFill="1" applyBorder="1" applyAlignment="1">
      <alignment wrapText="1"/>
    </xf>
    <xf numFmtId="49" fontId="4" fillId="0" borderId="8" xfId="0" applyNumberFormat="1" applyFont="1" applyFill="1" applyBorder="1" applyAlignment="1" applyProtection="1">
      <alignment horizontal="center" vertical="top" wrapText="1"/>
      <protection locked="0"/>
    </xf>
    <xf numFmtId="49" fontId="4" fillId="0" borderId="8" xfId="0" applyNumberFormat="1" applyFont="1" applyFill="1" applyBorder="1" applyAlignment="1" applyProtection="1">
      <alignment horizontal="center" vertical="top" wrapText="1"/>
      <protection locked="0"/>
    </xf>
    <xf numFmtId="0" fontId="4" fillId="3" borderId="3" xfId="0" applyFont="1" applyFill="1" applyBorder="1" applyAlignment="1">
      <alignment horizontal="center"/>
    </xf>
    <xf numFmtId="3" fontId="4" fillId="0" borderId="1" xfId="0" applyNumberFormat="1" applyFont="1" applyFill="1" applyBorder="1" applyAlignment="1">
      <alignment horizontal="right"/>
    </xf>
    <xf numFmtId="49" fontId="4" fillId="2" borderId="9" xfId="0" applyNumberFormat="1" applyFont="1" applyFill="1" applyBorder="1" applyAlignment="1">
      <alignment horizontal="center"/>
    </xf>
    <xf numFmtId="49" fontId="4" fillId="2" borderId="14" xfId="0" applyNumberFormat="1" applyFont="1" applyFill="1" applyBorder="1" applyAlignment="1">
      <alignment horizontal="center"/>
    </xf>
    <xf numFmtId="49" fontId="4" fillId="2" borderId="10" xfId="0" applyNumberFormat="1" applyFont="1" applyFill="1" applyBorder="1" applyAlignment="1">
      <alignment horizontal="center"/>
    </xf>
    <xf numFmtId="3" fontId="4" fillId="0" borderId="0" xfId="0" applyNumberFormat="1" applyFont="1" applyFill="1" applyBorder="1" applyAlignment="1" applyProtection="1">
      <alignment horizontal="right"/>
      <protection locked="0"/>
    </xf>
    <xf numFmtId="4" fontId="10" fillId="0" borderId="1" xfId="0" applyNumberFormat="1" applyFont="1" applyFill="1" applyBorder="1" applyAlignment="1">
      <alignment vertical="justify"/>
    </xf>
    <xf numFmtId="4" fontId="10" fillId="0" borderId="1" xfId="0" applyNumberFormat="1" applyFont="1" applyFill="1" applyBorder="1" applyAlignment="1">
      <alignment/>
    </xf>
    <xf numFmtId="4" fontId="11" fillId="0" borderId="1" xfId="0" applyNumberFormat="1" applyFont="1" applyFill="1" applyBorder="1" applyAlignment="1">
      <alignment vertical="justify"/>
    </xf>
    <xf numFmtId="4" fontId="10" fillId="0" borderId="1" xfId="0" applyNumberFormat="1" applyFont="1" applyFill="1" applyBorder="1" applyAlignment="1">
      <alignment wrapText="1"/>
    </xf>
    <xf numFmtId="4" fontId="10" fillId="0" borderId="1" xfId="0" applyNumberFormat="1" applyFont="1" applyFill="1" applyBorder="1" applyAlignment="1">
      <alignment horizontal="left" wrapText="1"/>
    </xf>
    <xf numFmtId="0" fontId="10" fillId="2" borderId="14" xfId="0" applyFont="1" applyFill="1" applyBorder="1" applyAlignment="1">
      <alignment/>
    </xf>
    <xf numFmtId="0" fontId="11" fillId="2" borderId="4" xfId="0" applyFont="1" applyFill="1" applyBorder="1" applyAlignment="1">
      <alignment/>
    </xf>
    <xf numFmtId="3" fontId="10" fillId="0" borderId="1" xfId="0" applyNumberFormat="1" applyFont="1" applyFill="1" applyBorder="1" applyAlignment="1">
      <alignment vertical="justify"/>
    </xf>
    <xf numFmtId="3" fontId="11" fillId="0" borderId="1" xfId="0" applyNumberFormat="1" applyFont="1" applyFill="1" applyBorder="1" applyAlignment="1">
      <alignment/>
    </xf>
    <xf numFmtId="49" fontId="10" fillId="0" borderId="1" xfId="0" applyNumberFormat="1" applyFont="1" applyFill="1" applyBorder="1" applyAlignment="1">
      <alignment/>
    </xf>
    <xf numFmtId="49" fontId="11" fillId="0" borderId="1" xfId="0" applyNumberFormat="1" applyFont="1" applyFill="1" applyBorder="1" applyAlignment="1">
      <alignment/>
    </xf>
    <xf numFmtId="49" fontId="10" fillId="0" borderId="1" xfId="0" applyNumberFormat="1" applyFont="1" applyFill="1" applyBorder="1" applyAlignment="1">
      <alignment horizontal="left" wrapText="1"/>
    </xf>
    <xf numFmtId="0" fontId="7" fillId="2" borderId="6" xfId="0" applyFont="1" applyFill="1" applyBorder="1" applyAlignment="1">
      <alignment horizontal="center" wrapText="1"/>
    </xf>
    <xf numFmtId="0" fontId="1" fillId="2" borderId="6" xfId="0" applyFont="1" applyFill="1" applyBorder="1" applyAlignment="1">
      <alignment wrapText="1"/>
    </xf>
    <xf numFmtId="170"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wrapText="1"/>
    </xf>
    <xf numFmtId="49" fontId="6" fillId="0" borderId="0" xfId="0" applyNumberFormat="1" applyFont="1" applyFill="1" applyBorder="1" applyAlignment="1">
      <alignment horizontal="center" wrapText="1"/>
    </xf>
    <xf numFmtId="170" fontId="6" fillId="0" borderId="3" xfId="0" applyNumberFormat="1" applyFont="1" applyFill="1" applyBorder="1" applyAlignment="1">
      <alignment horizontal="left" wrapText="1"/>
    </xf>
    <xf numFmtId="0" fontId="6" fillId="2" borderId="1" xfId="0" applyFont="1" applyFill="1" applyBorder="1" applyAlignment="1">
      <alignment horizontal="center"/>
    </xf>
    <xf numFmtId="0" fontId="1" fillId="3" borderId="1" xfId="0" applyFont="1" applyFill="1" applyBorder="1" applyAlignment="1">
      <alignment/>
    </xf>
    <xf numFmtId="3" fontId="6" fillId="2" borderId="5" xfId="0" applyNumberFormat="1" applyFont="1" applyFill="1" applyBorder="1" applyAlignment="1">
      <alignment horizontal="center" wrapText="1"/>
    </xf>
    <xf numFmtId="3" fontId="6" fillId="2" borderId="6" xfId="0" applyNumberFormat="1" applyFont="1" applyFill="1" applyBorder="1" applyAlignment="1">
      <alignment horizontal="center" wrapText="1"/>
    </xf>
    <xf numFmtId="3" fontId="6" fillId="0" borderId="5" xfId="0" applyNumberFormat="1" applyFont="1" applyFill="1" applyBorder="1" applyAlignment="1" applyProtection="1">
      <alignment horizontal="right"/>
      <protection locked="0"/>
    </xf>
    <xf numFmtId="3" fontId="6" fillId="0" borderId="1" xfId="0" applyNumberFormat="1" applyFont="1" applyFill="1" applyBorder="1" applyAlignment="1" applyProtection="1">
      <alignment horizontal="right"/>
      <protection locked="0"/>
    </xf>
    <xf numFmtId="3" fontId="4" fillId="0" borderId="0" xfId="0" applyNumberFormat="1" applyFont="1" applyFill="1" applyAlignment="1" applyProtection="1">
      <alignment horizontal="right"/>
      <protection locked="0"/>
    </xf>
    <xf numFmtId="3" fontId="4" fillId="0" borderId="10" xfId="0" applyNumberFormat="1" applyFont="1" applyFill="1" applyBorder="1" applyAlignment="1" applyProtection="1">
      <alignment horizontal="right"/>
      <protection locked="0"/>
    </xf>
    <xf numFmtId="3" fontId="6" fillId="0" borderId="2" xfId="0" applyNumberFormat="1" applyFont="1" applyFill="1" applyBorder="1" applyAlignment="1" applyProtection="1">
      <alignment horizontal="right"/>
      <protection locked="0"/>
    </xf>
    <xf numFmtId="3" fontId="6" fillId="0" borderId="12" xfId="0" applyNumberFormat="1" applyFont="1" applyFill="1" applyBorder="1" applyAlignment="1" applyProtection="1">
      <alignment horizontal="right"/>
      <protection locked="0"/>
    </xf>
    <xf numFmtId="3" fontId="6" fillId="0" borderId="4"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170" fontId="6" fillId="3" borderId="5" xfId="0" applyNumberFormat="1" applyFont="1" applyFill="1" applyBorder="1" applyAlignment="1">
      <alignment horizontal="center"/>
    </xf>
    <xf numFmtId="49" fontId="6" fillId="3" borderId="5" xfId="0" applyNumberFormat="1" applyFont="1" applyFill="1" applyBorder="1" applyAlignment="1">
      <alignment horizontal="center"/>
    </xf>
    <xf numFmtId="170" fontId="6" fillId="3" borderId="5" xfId="0" applyNumberFormat="1" applyFont="1" applyFill="1" applyBorder="1" applyAlignment="1">
      <alignment horizontal="right"/>
    </xf>
    <xf numFmtId="170" fontId="6" fillId="3" borderId="4" xfId="0" applyNumberFormat="1" applyFont="1" applyFill="1" applyBorder="1" applyAlignment="1">
      <alignment horizontal="left"/>
    </xf>
    <xf numFmtId="170" fontId="6" fillId="3" borderId="6" xfId="0" applyNumberFormat="1" applyFont="1" applyFill="1" applyBorder="1" applyAlignment="1">
      <alignment horizontal="right"/>
    </xf>
    <xf numFmtId="170" fontId="4" fillId="3" borderId="5" xfId="0" applyNumberFormat="1" applyFont="1" applyFill="1" applyBorder="1" applyAlignment="1">
      <alignment horizontal="right"/>
    </xf>
    <xf numFmtId="170" fontId="4" fillId="3" borderId="6" xfId="0" applyNumberFormat="1" applyFont="1" applyFill="1" applyBorder="1" applyAlignment="1">
      <alignment horizontal="right"/>
    </xf>
    <xf numFmtId="170" fontId="4" fillId="3" borderId="0" xfId="0" applyNumberFormat="1" applyFont="1" applyFill="1" applyBorder="1" applyAlignment="1">
      <alignment horizontal="right"/>
    </xf>
    <xf numFmtId="170" fontId="6" fillId="3" borderId="4" xfId="0" applyNumberFormat="1" applyFont="1" applyFill="1" applyBorder="1" applyAlignment="1">
      <alignment/>
    </xf>
    <xf numFmtId="170" fontId="6" fillId="3" borderId="5" xfId="0" applyNumberFormat="1" applyFont="1" applyFill="1" applyBorder="1" applyAlignment="1">
      <alignment/>
    </xf>
    <xf numFmtId="170" fontId="4" fillId="3" borderId="3" xfId="0" applyNumberFormat="1" applyFont="1" applyFill="1" applyBorder="1" applyAlignment="1">
      <alignment horizontal="right"/>
    </xf>
    <xf numFmtId="3" fontId="4" fillId="3" borderId="6" xfId="0" applyNumberFormat="1" applyFont="1" applyFill="1" applyBorder="1" applyAlignment="1" applyProtection="1">
      <alignment horizontal="right"/>
      <protection/>
    </xf>
    <xf numFmtId="3" fontId="6" fillId="3" borderId="5" xfId="0" applyNumberFormat="1" applyFont="1" applyFill="1" applyBorder="1" applyAlignment="1" applyProtection="1">
      <alignment horizontal="right"/>
      <protection/>
    </xf>
    <xf numFmtId="3" fontId="6" fillId="0" borderId="1" xfId="0" applyNumberFormat="1" applyFont="1" applyBorder="1" applyAlignment="1" applyProtection="1">
      <alignment horizontal="right"/>
      <protection locked="0"/>
    </xf>
    <xf numFmtId="49" fontId="6" fillId="2" borderId="1" xfId="0" applyNumberFormat="1" applyFont="1" applyFill="1" applyBorder="1" applyAlignment="1">
      <alignment horizontal="center" vertical="top" wrapText="1"/>
    </xf>
    <xf numFmtId="3" fontId="4" fillId="0" borderId="12" xfId="0" applyNumberFormat="1" applyFont="1" applyBorder="1" applyAlignment="1" applyProtection="1">
      <alignment horizontal="right"/>
      <protection locked="0"/>
    </xf>
    <xf numFmtId="49" fontId="4" fillId="2" borderId="0"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0"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 fontId="4" fillId="0" borderId="0" xfId="0" applyNumberFormat="1" applyFont="1" applyFill="1" applyBorder="1" applyAlignment="1" applyProtection="1">
      <alignment horizontal="right" vertical="top"/>
      <protection locked="0"/>
    </xf>
    <xf numFmtId="0" fontId="6" fillId="2" borderId="3" xfId="0" applyFont="1" applyFill="1" applyBorder="1" applyAlignment="1">
      <alignment/>
    </xf>
    <xf numFmtId="49" fontId="4" fillId="0" borderId="1" xfId="0"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left"/>
    </xf>
    <xf numFmtId="49" fontId="4" fillId="0" borderId="12" xfId="0" applyNumberFormat="1" applyFont="1" applyFill="1" applyBorder="1" applyAlignment="1">
      <alignment horizontal="left"/>
    </xf>
    <xf numFmtId="3" fontId="6" fillId="0" borderId="5" xfId="0" applyNumberFormat="1" applyFont="1" applyFill="1" applyBorder="1" applyAlignment="1">
      <alignment horizontal="right"/>
    </xf>
    <xf numFmtId="3" fontId="6" fillId="0" borderId="1" xfId="0" applyNumberFormat="1" applyFont="1" applyFill="1" applyBorder="1" applyAlignment="1">
      <alignment horizontal="right"/>
    </xf>
    <xf numFmtId="49" fontId="6" fillId="3" borderId="1" xfId="0" applyNumberFormat="1" applyFont="1" applyFill="1" applyBorder="1" applyAlignment="1">
      <alignment horizontal="center" wrapText="1"/>
    </xf>
    <xf numFmtId="3" fontId="6" fillId="3" borderId="5" xfId="0" applyNumberFormat="1" applyFont="1" applyFill="1" applyBorder="1" applyAlignment="1">
      <alignment/>
    </xf>
    <xf numFmtId="4" fontId="6" fillId="0" borderId="1" xfId="0" applyNumberFormat="1" applyFont="1" applyFill="1" applyBorder="1" applyAlignment="1">
      <alignment horizontal="right"/>
    </xf>
    <xf numFmtId="49" fontId="6" fillId="2" borderId="6" xfId="0" applyNumberFormat="1" applyFont="1" applyFill="1" applyBorder="1" applyAlignment="1">
      <alignment horizontal="center" wrapText="1"/>
    </xf>
    <xf numFmtId="3" fontId="6" fillId="0" borderId="0" xfId="0" applyNumberFormat="1" applyFont="1" applyFill="1" applyBorder="1" applyAlignment="1">
      <alignment/>
    </xf>
    <xf numFmtId="0" fontId="6" fillId="0" borderId="0" xfId="0" applyFont="1" applyFill="1" applyBorder="1" applyAlignment="1">
      <alignment horizontal="centerContinuous" vertical="center"/>
    </xf>
    <xf numFmtId="49" fontId="11" fillId="2" borderId="1" xfId="0" applyNumberFormat="1" applyFont="1" applyFill="1" applyBorder="1" applyAlignment="1">
      <alignment horizontal="center" vertical="top"/>
    </xf>
    <xf numFmtId="4" fontId="4" fillId="0" borderId="8" xfId="0" applyNumberFormat="1" applyFont="1" applyFill="1" applyBorder="1" applyAlignment="1" applyProtection="1">
      <alignment horizontal="right" vertical="top"/>
      <protection locked="0"/>
    </xf>
    <xf numFmtId="0" fontId="4" fillId="7" borderId="0" xfId="0" applyFont="1" applyFill="1" applyBorder="1" applyAlignment="1">
      <alignment/>
    </xf>
    <xf numFmtId="49" fontId="4" fillId="7" borderId="0" xfId="0" applyNumberFormat="1" applyFont="1" applyFill="1" applyBorder="1" applyAlignment="1">
      <alignment horizontal="center"/>
    </xf>
    <xf numFmtId="0" fontId="4" fillId="7" borderId="15" xfId="0" applyFont="1" applyFill="1" applyBorder="1" applyAlignment="1">
      <alignment/>
    </xf>
    <xf numFmtId="0" fontId="6" fillId="2" borderId="15" xfId="0" applyFont="1" applyFill="1" applyBorder="1" applyAlignment="1">
      <alignment horizontal="right"/>
    </xf>
    <xf numFmtId="0" fontId="4" fillId="7" borderId="5" xfId="0" applyFont="1" applyFill="1" applyBorder="1" applyAlignment="1">
      <alignment/>
    </xf>
    <xf numFmtId="0" fontId="4" fillId="7" borderId="6" xfId="0" applyFont="1" applyFill="1" applyBorder="1" applyAlignment="1">
      <alignment/>
    </xf>
    <xf numFmtId="49" fontId="10" fillId="2" borderId="3" xfId="0" applyNumberFormat="1" applyFont="1" applyFill="1" applyBorder="1" applyAlignment="1">
      <alignment horizontal="center"/>
    </xf>
    <xf numFmtId="0" fontId="11" fillId="2" borderId="15" xfId="0" applyFont="1" applyFill="1" applyBorder="1" applyAlignment="1">
      <alignment horizontal="right"/>
    </xf>
    <xf numFmtId="0" fontId="10" fillId="2" borderId="10" xfId="0" applyFont="1" applyFill="1" applyBorder="1" applyAlignment="1">
      <alignment/>
    </xf>
    <xf numFmtId="0" fontId="10" fillId="7" borderId="5" xfId="0" applyFont="1" applyFill="1" applyBorder="1" applyAlignment="1">
      <alignment/>
    </xf>
    <xf numFmtId="0" fontId="10" fillId="7" borderId="6" xfId="0" applyFont="1" applyFill="1" applyBorder="1" applyAlignment="1">
      <alignment/>
    </xf>
    <xf numFmtId="3" fontId="6" fillId="0" borderId="5" xfId="0" applyNumberFormat="1" applyFont="1" applyFill="1" applyBorder="1" applyAlignment="1">
      <alignment horizontal="center"/>
    </xf>
    <xf numFmtId="0" fontId="6" fillId="3" borderId="1" xfId="0" applyFont="1" applyFill="1" applyBorder="1" applyAlignment="1">
      <alignment/>
    </xf>
    <xf numFmtId="49" fontId="4" fillId="0" borderId="1" xfId="0" applyNumberFormat="1" applyFont="1" applyFill="1" applyBorder="1" applyAlignment="1">
      <alignment horizontal="right"/>
    </xf>
    <xf numFmtId="4" fontId="4" fillId="0" borderId="13" xfId="0" applyNumberFormat="1" applyFont="1" applyFill="1" applyBorder="1" applyAlignment="1">
      <alignment horizontal="right"/>
    </xf>
    <xf numFmtId="4" fontId="4" fillId="0" borderId="15" xfId="0" applyNumberFormat="1" applyFont="1" applyFill="1" applyBorder="1" applyAlignment="1">
      <alignment horizontal="right"/>
    </xf>
    <xf numFmtId="49" fontId="4" fillId="0" borderId="3" xfId="0" applyNumberFormat="1" applyFont="1" applyFill="1" applyBorder="1" applyAlignment="1">
      <alignment horizontal="right"/>
    </xf>
    <xf numFmtId="3" fontId="4" fillId="3" borderId="5" xfId="0" applyNumberFormat="1" applyFont="1" applyFill="1" applyBorder="1" applyAlignment="1">
      <alignment/>
    </xf>
    <xf numFmtId="3" fontId="6" fillId="2" borderId="5" xfId="0" applyNumberFormat="1" applyFont="1" applyFill="1" applyBorder="1" applyAlignment="1">
      <alignment/>
    </xf>
    <xf numFmtId="49" fontId="6" fillId="3" borderId="1" xfId="0" applyNumberFormat="1" applyFont="1" applyFill="1" applyBorder="1" applyAlignment="1">
      <alignment horizontal="center" wrapText="1"/>
    </xf>
    <xf numFmtId="0" fontId="17" fillId="3" borderId="1" xfId="0" applyFont="1" applyFill="1" applyBorder="1" applyAlignment="1">
      <alignment/>
    </xf>
    <xf numFmtId="0" fontId="10" fillId="2" borderId="14" xfId="0" applyFont="1" applyFill="1" applyBorder="1" applyAlignment="1">
      <alignment wrapText="1"/>
    </xf>
    <xf numFmtId="49" fontId="10" fillId="2" borderId="12" xfId="0" applyNumberFormat="1" applyFont="1" applyFill="1" applyBorder="1" applyAlignment="1">
      <alignment horizontal="center"/>
    </xf>
    <xf numFmtId="49" fontId="10" fillId="2" borderId="1" xfId="0" applyNumberFormat="1" applyFont="1" applyFill="1" applyBorder="1" applyAlignment="1">
      <alignment horizontal="center"/>
    </xf>
    <xf numFmtId="170" fontId="4" fillId="3" borderId="15" xfId="0" applyNumberFormat="1" applyFont="1" applyFill="1" applyBorder="1" applyAlignment="1">
      <alignment horizontal="right"/>
    </xf>
    <xf numFmtId="0" fontId="4" fillId="3" borderId="14" xfId="0" applyFont="1" applyFill="1" applyBorder="1" applyAlignment="1">
      <alignment horizontal="left" vertical="center"/>
    </xf>
    <xf numFmtId="0" fontId="4" fillId="3" borderId="0" xfId="0" applyFont="1" applyFill="1" applyBorder="1" applyAlignment="1">
      <alignment vertical="top"/>
    </xf>
    <xf numFmtId="0" fontId="4" fillId="3" borderId="0" xfId="0" applyFont="1" applyFill="1" applyBorder="1" applyAlignment="1">
      <alignment horizontal="justify" vertical="top" wrapText="1"/>
    </xf>
    <xf numFmtId="49" fontId="4" fillId="3" borderId="0" xfId="0" applyNumberFormat="1" applyFont="1" applyFill="1" applyBorder="1" applyAlignment="1">
      <alignment horizontal="center" vertical="top" wrapText="1"/>
    </xf>
    <xf numFmtId="170" fontId="6" fillId="3" borderId="11" xfId="0" applyNumberFormat="1" applyFont="1" applyFill="1" applyBorder="1" applyAlignment="1">
      <alignment horizontal="right"/>
    </xf>
    <xf numFmtId="0" fontId="4" fillId="3" borderId="4" xfId="0" applyFont="1" applyFill="1" applyBorder="1" applyAlignment="1">
      <alignment horizontal="left" vertical="center"/>
    </xf>
    <xf numFmtId="0" fontId="4" fillId="3" borderId="5" xfId="0" applyFont="1" applyFill="1" applyBorder="1" applyAlignment="1">
      <alignment vertical="top"/>
    </xf>
    <xf numFmtId="0" fontId="4" fillId="3" borderId="5" xfId="0" applyFont="1" applyFill="1" applyBorder="1" applyAlignment="1">
      <alignment horizontal="justify" vertical="top" wrapText="1"/>
    </xf>
    <xf numFmtId="49" fontId="4" fillId="3" borderId="5" xfId="0" applyNumberFormat="1" applyFont="1" applyFill="1" applyBorder="1" applyAlignment="1">
      <alignment horizontal="center" vertical="top" wrapText="1"/>
    </xf>
    <xf numFmtId="0" fontId="4" fillId="3" borderId="0" xfId="0" applyFont="1" applyFill="1" applyBorder="1" applyAlignment="1">
      <alignment horizontal="right"/>
    </xf>
    <xf numFmtId="0" fontId="4" fillId="3" borderId="11" xfId="0" applyFont="1" applyFill="1" applyBorder="1" applyAlignment="1">
      <alignment horizontal="right"/>
    </xf>
    <xf numFmtId="170" fontId="6" fillId="3" borderId="11" xfId="0" applyNumberFormat="1" applyFont="1" applyFill="1" applyBorder="1" applyAlignment="1">
      <alignment horizontal="center"/>
    </xf>
    <xf numFmtId="49" fontId="4" fillId="3" borderId="5" xfId="0" applyNumberFormat="1" applyFont="1" applyFill="1" applyBorder="1" applyAlignment="1">
      <alignment horizontal="right"/>
    </xf>
    <xf numFmtId="49" fontId="4" fillId="3" borderId="6" xfId="0" applyNumberFormat="1" applyFont="1" applyFill="1" applyBorder="1" applyAlignment="1">
      <alignment horizontal="right"/>
    </xf>
    <xf numFmtId="0" fontId="6" fillId="3" borderId="0" xfId="0" applyFont="1" applyFill="1" applyBorder="1" applyAlignment="1">
      <alignment/>
    </xf>
    <xf numFmtId="0" fontId="6" fillId="2" borderId="4" xfId="0" applyFont="1" applyFill="1" applyBorder="1" applyAlignment="1">
      <alignment/>
    </xf>
    <xf numFmtId="0" fontId="4" fillId="3" borderId="0" xfId="0" applyFont="1" applyFill="1" applyBorder="1" applyAlignment="1">
      <alignment horizontal="left" wrapText="1"/>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3" fontId="4" fillId="3" borderId="5" xfId="0" applyNumberFormat="1" applyFont="1" applyFill="1" applyBorder="1" applyAlignment="1">
      <alignment horizontal="center"/>
    </xf>
    <xf numFmtId="3" fontId="4" fillId="3" borderId="5" xfId="0" applyNumberFormat="1" applyFont="1" applyFill="1" applyBorder="1" applyAlignment="1">
      <alignment horizontal="right"/>
    </xf>
    <xf numFmtId="3" fontId="4" fillId="3" borderId="6" xfId="0" applyNumberFormat="1" applyFont="1" applyFill="1" applyBorder="1" applyAlignment="1">
      <alignment horizontal="right"/>
    </xf>
    <xf numFmtId="170" fontId="4" fillId="3" borderId="4" xfId="0" applyNumberFormat="1" applyFont="1" applyFill="1" applyBorder="1" applyAlignment="1">
      <alignment/>
    </xf>
    <xf numFmtId="170" fontId="4" fillId="3" borderId="5" xfId="0" applyNumberFormat="1" applyFont="1" applyFill="1" applyBorder="1" applyAlignment="1">
      <alignment/>
    </xf>
    <xf numFmtId="0" fontId="4" fillId="3" borderId="4" xfId="0" applyFont="1" applyFill="1" applyBorder="1" applyAlignment="1">
      <alignment/>
    </xf>
    <xf numFmtId="3" fontId="4" fillId="3" borderId="6" xfId="0" applyNumberFormat="1" applyFont="1" applyFill="1" applyBorder="1" applyAlignment="1">
      <alignment/>
    </xf>
    <xf numFmtId="0" fontId="4" fillId="3" borderId="11" xfId="0" applyFont="1" applyFill="1" applyBorder="1" applyAlignment="1">
      <alignment horizontal="right"/>
    </xf>
    <xf numFmtId="0" fontId="4" fillId="3" borderId="0" xfId="0" applyFont="1" applyFill="1" applyBorder="1" applyAlignment="1">
      <alignment/>
    </xf>
    <xf numFmtId="0" fontId="4" fillId="3" borderId="11" xfId="0" applyFont="1" applyFill="1" applyBorder="1" applyAlignment="1">
      <alignment/>
    </xf>
    <xf numFmtId="0" fontId="9" fillId="3" borderId="0" xfId="0" applyFont="1" applyFill="1" applyBorder="1" applyAlignment="1">
      <alignment/>
    </xf>
    <xf numFmtId="0" fontId="4" fillId="3" borderId="13" xfId="0" applyFont="1" applyFill="1" applyBorder="1" applyAlignment="1">
      <alignment/>
    </xf>
    <xf numFmtId="0" fontId="6" fillId="3" borderId="14" xfId="0" applyFont="1" applyFill="1" applyBorder="1" applyAlignment="1">
      <alignment/>
    </xf>
    <xf numFmtId="0" fontId="6" fillId="3" borderId="0" xfId="0" applyFont="1" applyFill="1" applyBorder="1" applyAlignment="1">
      <alignment horizontal="center"/>
    </xf>
    <xf numFmtId="0" fontId="4" fillId="3" borderId="9" xfId="0" applyFont="1" applyFill="1" applyBorder="1" applyAlignment="1">
      <alignment/>
    </xf>
    <xf numFmtId="0" fontId="9" fillId="3" borderId="14" xfId="0" applyFont="1" applyFill="1" applyBorder="1" applyAlignment="1">
      <alignment/>
    </xf>
    <xf numFmtId="0" fontId="6" fillId="3" borderId="10" xfId="0" applyFont="1" applyFill="1" applyBorder="1" applyAlignment="1">
      <alignment/>
    </xf>
    <xf numFmtId="0" fontId="9" fillId="2" borderId="14" xfId="0" applyFont="1" applyFill="1" applyBorder="1" applyAlignment="1">
      <alignment/>
    </xf>
    <xf numFmtId="0" fontId="4" fillId="2" borderId="11" xfId="0" applyFont="1" applyFill="1" applyBorder="1" applyAlignment="1">
      <alignment/>
    </xf>
    <xf numFmtId="0" fontId="9" fillId="3" borderId="10" xfId="0" applyFont="1" applyFill="1" applyBorder="1" applyAlignment="1">
      <alignment/>
    </xf>
    <xf numFmtId="0" fontId="1" fillId="0" borderId="1" xfId="0" applyFont="1" applyFill="1" applyBorder="1" applyAlignment="1">
      <alignment/>
    </xf>
    <xf numFmtId="0" fontId="1" fillId="0" borderId="1" xfId="0" applyFont="1" applyFill="1" applyBorder="1" applyAlignment="1">
      <alignment horizontal="center"/>
    </xf>
    <xf numFmtId="0" fontId="4" fillId="3" borderId="10" xfId="0" applyFont="1" applyFill="1" applyBorder="1" applyAlignment="1">
      <alignment/>
    </xf>
    <xf numFmtId="0" fontId="6" fillId="3" borderId="9" xfId="0" applyFont="1" applyFill="1" applyBorder="1" applyAlignment="1">
      <alignment/>
    </xf>
    <xf numFmtId="0" fontId="6" fillId="3" borderId="2" xfId="0" applyFont="1" applyFill="1" applyBorder="1" applyAlignment="1">
      <alignment/>
    </xf>
    <xf numFmtId="0" fontId="6" fillId="3" borderId="3" xfId="0" applyFont="1" applyFill="1" applyBorder="1" applyAlignment="1">
      <alignment/>
    </xf>
    <xf numFmtId="0" fontId="4" fillId="3" borderId="14" xfId="0" applyFont="1" applyFill="1" applyBorder="1" applyAlignment="1">
      <alignment/>
    </xf>
    <xf numFmtId="0" fontId="8" fillId="3" borderId="14" xfId="0" applyFont="1" applyFill="1" applyBorder="1" applyAlignment="1">
      <alignment/>
    </xf>
    <xf numFmtId="3" fontId="6" fillId="2" borderId="2" xfId="0" applyNumberFormat="1" applyFont="1" applyFill="1" applyBorder="1" applyAlignment="1">
      <alignment/>
    </xf>
    <xf numFmtId="0" fontId="4" fillId="3" borderId="10" xfId="0" applyFont="1" applyFill="1" applyBorder="1" applyAlignment="1">
      <alignment horizontal="left" wrapText="1"/>
    </xf>
    <xf numFmtId="0" fontId="4" fillId="3" borderId="3" xfId="0" applyFont="1" applyFill="1" applyBorder="1" applyAlignment="1">
      <alignment horizontal="left"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right"/>
    </xf>
    <xf numFmtId="0" fontId="4" fillId="3" borderId="14" xfId="0" applyFont="1" applyFill="1" applyBorder="1" applyAlignment="1">
      <alignment horizontal="left" wrapText="1"/>
    </xf>
    <xf numFmtId="0" fontId="8" fillId="3" borderId="14" xfId="0" applyFont="1" applyFill="1" applyBorder="1" applyAlignment="1">
      <alignment horizontal="left"/>
    </xf>
    <xf numFmtId="0" fontId="4" fillId="3" borderId="0" xfId="0" applyFont="1" applyFill="1" applyBorder="1" applyAlignment="1">
      <alignment horizontal="centerContinuous" vertical="center"/>
    </xf>
    <xf numFmtId="0" fontId="4" fillId="3" borderId="2" xfId="0" applyFont="1" applyFill="1" applyBorder="1" applyAlignment="1">
      <alignment horizontal="centerContinuous" vertical="center"/>
    </xf>
    <xf numFmtId="0" fontId="4" fillId="3" borderId="15" xfId="0" applyFont="1" applyFill="1" applyBorder="1" applyAlignment="1">
      <alignment horizontal="center" vertical="center" wrapText="1"/>
    </xf>
    <xf numFmtId="3" fontId="6" fillId="3" borderId="1" xfId="0" applyNumberFormat="1" applyFont="1" applyFill="1" applyBorder="1" applyAlignment="1">
      <alignment/>
    </xf>
    <xf numFmtId="0" fontId="9" fillId="3" borderId="11" xfId="0" applyFont="1" applyFill="1" applyBorder="1" applyAlignment="1">
      <alignment/>
    </xf>
    <xf numFmtId="4" fontId="4" fillId="3" borderId="0" xfId="0" applyNumberFormat="1" applyFont="1" applyFill="1" applyBorder="1" applyAlignment="1">
      <alignment horizontal="center" wrapText="1"/>
    </xf>
    <xf numFmtId="49" fontId="4" fillId="3" borderId="13" xfId="0" applyNumberFormat="1" applyFont="1" applyFill="1" applyBorder="1" applyAlignment="1">
      <alignment horizontal="center" wrapText="1"/>
    </xf>
    <xf numFmtId="0" fontId="6" fillId="3" borderId="0" xfId="0" applyFont="1" applyFill="1" applyBorder="1" applyAlignment="1">
      <alignment horizontal="center" wrapText="1"/>
    </xf>
    <xf numFmtId="0" fontId="6" fillId="3" borderId="3" xfId="0" applyFont="1" applyFill="1" applyBorder="1" applyAlignment="1">
      <alignment horizontal="center" wrapText="1"/>
    </xf>
    <xf numFmtId="0" fontId="10" fillId="3" borderId="2" xfId="0" applyFont="1" applyFill="1" applyBorder="1" applyAlignment="1">
      <alignment/>
    </xf>
    <xf numFmtId="0" fontId="12" fillId="3" borderId="0" xfId="0" applyFont="1" applyFill="1" applyBorder="1" applyAlignment="1">
      <alignment/>
    </xf>
    <xf numFmtId="0" fontId="10" fillId="3" borderId="0" xfId="0" applyFont="1" applyFill="1" applyBorder="1" applyAlignment="1">
      <alignment/>
    </xf>
    <xf numFmtId="0" fontId="10" fillId="3" borderId="9" xfId="0" applyFont="1" applyFill="1" applyBorder="1" applyAlignment="1">
      <alignment/>
    </xf>
    <xf numFmtId="0" fontId="10" fillId="3" borderId="13" xfId="0" applyFont="1" applyFill="1" applyBorder="1" applyAlignment="1">
      <alignment/>
    </xf>
    <xf numFmtId="0" fontId="12" fillId="3" borderId="14" xfId="0" applyFont="1" applyFill="1" applyBorder="1" applyAlignment="1">
      <alignment/>
    </xf>
    <xf numFmtId="0" fontId="10" fillId="3" borderId="11" xfId="0" applyFont="1" applyFill="1" applyBorder="1" applyAlignment="1">
      <alignment/>
    </xf>
    <xf numFmtId="0" fontId="12" fillId="3" borderId="10" xfId="0" applyFont="1" applyFill="1" applyBorder="1" applyAlignment="1">
      <alignment/>
    </xf>
    <xf numFmtId="0" fontId="12" fillId="3" borderId="3" xfId="0" applyFont="1" applyFill="1" applyBorder="1" applyAlignment="1">
      <alignment/>
    </xf>
    <xf numFmtId="0" fontId="10" fillId="3" borderId="3" xfId="0" applyFont="1" applyFill="1" applyBorder="1" applyAlignment="1">
      <alignment/>
    </xf>
    <xf numFmtId="0" fontId="10" fillId="3" borderId="15" xfId="0" applyFont="1" applyFill="1" applyBorder="1" applyAlignment="1">
      <alignment/>
    </xf>
    <xf numFmtId="0" fontId="1" fillId="3" borderId="0" xfId="0" applyFont="1" applyFill="1" applyBorder="1" applyAlignment="1">
      <alignment wrapText="1"/>
    </xf>
    <xf numFmtId="0" fontId="1" fillId="3" borderId="14" xfId="0" applyFont="1" applyFill="1" applyBorder="1" applyAlignment="1">
      <alignment wrapText="1"/>
    </xf>
    <xf numFmtId="0" fontId="1" fillId="3" borderId="11" xfId="0" applyFont="1" applyFill="1" applyBorder="1" applyAlignment="1">
      <alignment wrapText="1"/>
    </xf>
    <xf numFmtId="0" fontId="1" fillId="3" borderId="10" xfId="0" applyFont="1" applyFill="1" applyBorder="1" applyAlignment="1">
      <alignment wrapText="1"/>
    </xf>
    <xf numFmtId="0" fontId="1" fillId="3" borderId="3" xfId="0" applyFont="1" applyFill="1" applyBorder="1" applyAlignment="1">
      <alignment wrapText="1"/>
    </xf>
    <xf numFmtId="0" fontId="1" fillId="3" borderId="15" xfId="0" applyFont="1" applyFill="1" applyBorder="1" applyAlignment="1">
      <alignment wrapText="1"/>
    </xf>
    <xf numFmtId="0" fontId="11" fillId="2" borderId="8" xfId="0" applyFont="1" applyFill="1" applyBorder="1" applyAlignment="1">
      <alignment horizontal="left" wrapText="1"/>
    </xf>
    <xf numFmtId="0" fontId="10" fillId="2" borderId="8" xfId="0" applyFont="1" applyFill="1" applyBorder="1" applyAlignment="1">
      <alignment horizontal="center" wrapText="1"/>
    </xf>
    <xf numFmtId="0" fontId="11" fillId="2" borderId="8" xfId="0" applyFont="1" applyFill="1" applyBorder="1" applyAlignment="1">
      <alignment horizontal="center" wrapText="1"/>
    </xf>
    <xf numFmtId="0" fontId="10" fillId="2" borderId="8" xfId="0" applyFont="1" applyFill="1" applyBorder="1" applyAlignment="1">
      <alignment horizontal="center"/>
    </xf>
    <xf numFmtId="0" fontId="10" fillId="3" borderId="0" xfId="0" applyFont="1" applyFill="1" applyBorder="1" applyAlignment="1">
      <alignment horizontal="left" wrapText="1"/>
    </xf>
    <xf numFmtId="0" fontId="10" fillId="3" borderId="9" xfId="0" applyFont="1" applyFill="1" applyBorder="1" applyAlignment="1">
      <alignment horizontal="left" wrapText="1"/>
    </xf>
    <xf numFmtId="0" fontId="10" fillId="3" borderId="2" xfId="0" applyFont="1" applyFill="1" applyBorder="1" applyAlignment="1">
      <alignment horizontal="left" wrapText="1"/>
    </xf>
    <xf numFmtId="0" fontId="10" fillId="3" borderId="2" xfId="0" applyFont="1" applyFill="1" applyBorder="1" applyAlignment="1">
      <alignment wrapText="1"/>
    </xf>
    <xf numFmtId="0" fontId="10" fillId="3" borderId="13" xfId="0" applyFont="1" applyFill="1" applyBorder="1" applyAlignment="1">
      <alignment wrapText="1"/>
    </xf>
    <xf numFmtId="0" fontId="10" fillId="3" borderId="10" xfId="0" applyFont="1" applyFill="1" applyBorder="1" applyAlignment="1">
      <alignment horizontal="left" wrapText="1"/>
    </xf>
    <xf numFmtId="0" fontId="10" fillId="3" borderId="3" xfId="0" applyFont="1" applyFill="1" applyBorder="1" applyAlignment="1">
      <alignment horizontal="left" wrapText="1"/>
    </xf>
    <xf numFmtId="0" fontId="10" fillId="3" borderId="3" xfId="0" applyFont="1" applyFill="1" applyBorder="1" applyAlignment="1">
      <alignment wrapText="1"/>
    </xf>
    <xf numFmtId="0" fontId="10" fillId="3" borderId="15" xfId="0" applyFont="1" applyFill="1" applyBorder="1" applyAlignment="1">
      <alignment wrapText="1"/>
    </xf>
    <xf numFmtId="0" fontId="11" fillId="3" borderId="9" xfId="0" applyFont="1" applyFill="1" applyBorder="1" applyAlignment="1">
      <alignment horizontal="left" wrapText="1"/>
    </xf>
    <xf numFmtId="0" fontId="10" fillId="3" borderId="2" xfId="0" applyFont="1" applyFill="1" applyBorder="1" applyAlignment="1">
      <alignment horizontal="center" wrapText="1"/>
    </xf>
    <xf numFmtId="0" fontId="10" fillId="3" borderId="13" xfId="0" applyFont="1" applyFill="1" applyBorder="1" applyAlignment="1">
      <alignment horizontal="center" wrapText="1"/>
    </xf>
    <xf numFmtId="0" fontId="11" fillId="3" borderId="14" xfId="0" applyFont="1" applyFill="1" applyBorder="1" applyAlignment="1">
      <alignment horizontal="left" wrapText="1"/>
    </xf>
    <xf numFmtId="0" fontId="9" fillId="3" borderId="3" xfId="0" applyFont="1" applyFill="1" applyBorder="1" applyAlignment="1">
      <alignment/>
    </xf>
    <xf numFmtId="0" fontId="6" fillId="3" borderId="3" xfId="0" applyFont="1" applyFill="1" applyBorder="1" applyAlignment="1">
      <alignment wrapText="1"/>
    </xf>
    <xf numFmtId="0" fontId="4" fillId="3" borderId="3" xfId="0" applyFont="1" applyFill="1" applyBorder="1" applyAlignment="1">
      <alignment horizontal="centerContinuous" vertical="justify"/>
    </xf>
    <xf numFmtId="0" fontId="6" fillId="3" borderId="0" xfId="0" applyFont="1" applyFill="1" applyBorder="1" applyAlignment="1">
      <alignment horizontal="left"/>
    </xf>
    <xf numFmtId="0" fontId="4" fillId="3" borderId="2" xfId="0" applyFont="1" applyFill="1" applyBorder="1" applyAlignment="1">
      <alignment horizontal="right"/>
    </xf>
    <xf numFmtId="0" fontId="6" fillId="3" borderId="14" xfId="0" applyFont="1" applyFill="1" applyBorder="1" applyAlignment="1">
      <alignment horizontal="left"/>
    </xf>
    <xf numFmtId="0" fontId="6" fillId="3" borderId="11" xfId="0" applyFont="1" applyFill="1" applyBorder="1" applyAlignment="1">
      <alignment/>
    </xf>
    <xf numFmtId="0" fontId="6" fillId="3" borderId="15" xfId="0" applyFont="1" applyFill="1" applyBorder="1" applyAlignment="1">
      <alignment/>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Continuous" vertical="center"/>
    </xf>
    <xf numFmtId="0" fontId="4" fillId="3" borderId="13" xfId="0" applyFont="1" applyFill="1" applyBorder="1" applyAlignment="1">
      <alignment horizontal="right"/>
    </xf>
    <xf numFmtId="0" fontId="8" fillId="3" borderId="2" xfId="0" applyFont="1" applyFill="1" applyBorder="1" applyAlignment="1">
      <alignment/>
    </xf>
    <xf numFmtId="0" fontId="6" fillId="3" borderId="2" xfId="0" applyFont="1" applyFill="1" applyBorder="1" applyAlignment="1">
      <alignment/>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wrapText="1"/>
    </xf>
    <xf numFmtId="49" fontId="10" fillId="3" borderId="1" xfId="0" applyNumberFormat="1" applyFont="1" applyFill="1" applyBorder="1" applyAlignment="1">
      <alignment horizontal="center" vertical="top"/>
    </xf>
    <xf numFmtId="0" fontId="10" fillId="3" borderId="1" xfId="0" applyFont="1" applyFill="1" applyBorder="1" applyAlignment="1">
      <alignment horizontal="centerContinuous" vertical="justify"/>
    </xf>
    <xf numFmtId="0" fontId="12" fillId="3" borderId="5" xfId="0" applyFont="1" applyFill="1" applyBorder="1" applyAlignment="1">
      <alignment/>
    </xf>
    <xf numFmtId="0" fontId="12" fillId="3" borderId="5" xfId="0" applyFont="1" applyFill="1" applyBorder="1" applyAlignment="1">
      <alignment/>
    </xf>
    <xf numFmtId="0" fontId="12" fillId="3" borderId="4" xfId="0" applyFont="1" applyFill="1" applyBorder="1" applyAlignment="1">
      <alignment/>
    </xf>
    <xf numFmtId="0" fontId="12" fillId="3" borderId="6" xfId="0" applyFont="1" applyFill="1" applyBorder="1" applyAlignment="1">
      <alignment/>
    </xf>
    <xf numFmtId="0" fontId="17" fillId="2" borderId="1" xfId="0" applyFont="1" applyFill="1" applyBorder="1" applyAlignment="1">
      <alignment/>
    </xf>
    <xf numFmtId="0" fontId="6" fillId="0" borderId="0" xfId="0" applyFont="1" applyFill="1" applyBorder="1" applyAlignment="1">
      <alignment/>
    </xf>
    <xf numFmtId="49" fontId="6" fillId="2" borderId="7" xfId="0" applyNumberFormat="1" applyFont="1" applyFill="1" applyBorder="1" applyAlignment="1">
      <alignment horizontal="center" wrapText="1"/>
    </xf>
    <xf numFmtId="4" fontId="4" fillId="0" borderId="12" xfId="0" applyNumberFormat="1" applyFont="1" applyFill="1" applyBorder="1" applyAlignment="1" applyProtection="1">
      <alignment horizontal="right" vertical="top"/>
      <protection locked="0"/>
    </xf>
    <xf numFmtId="4" fontId="4" fillId="0" borderId="7" xfId="0" applyNumberFormat="1" applyFont="1" applyFill="1" applyBorder="1" applyAlignment="1" applyProtection="1">
      <alignment horizontal="right" vertical="top"/>
      <protection locked="0"/>
    </xf>
    <xf numFmtId="4" fontId="4" fillId="0" borderId="14" xfId="0" applyNumberFormat="1" applyFont="1" applyFill="1" applyBorder="1" applyAlignment="1" applyProtection="1">
      <alignment horizontal="right" vertical="top"/>
      <protection locked="0"/>
    </xf>
    <xf numFmtId="4" fontId="4" fillId="0" borderId="11" xfId="0" applyNumberFormat="1" applyFont="1" applyFill="1" applyBorder="1" applyAlignment="1" applyProtection="1">
      <alignment horizontal="right" vertical="top"/>
      <protection locked="0"/>
    </xf>
    <xf numFmtId="4" fontId="4" fillId="0" borderId="10" xfId="0" applyNumberFormat="1" applyFont="1" applyFill="1" applyBorder="1" applyAlignment="1" applyProtection="1">
      <alignment horizontal="right" vertical="top"/>
      <protection locked="0"/>
    </xf>
    <xf numFmtId="4" fontId="4" fillId="0" borderId="15" xfId="0" applyNumberFormat="1" applyFont="1" applyFill="1" applyBorder="1" applyAlignment="1" applyProtection="1">
      <alignment horizontal="right" vertical="top"/>
      <protection locked="0"/>
    </xf>
    <xf numFmtId="0" fontId="4" fillId="3" borderId="10" xfId="0" applyFont="1" applyFill="1" applyBorder="1" applyAlignment="1">
      <alignment horizontal="center"/>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3" borderId="12" xfId="0" applyNumberFormat="1" applyFont="1" applyFill="1" applyBorder="1" applyAlignment="1">
      <alignment horizontal="center" wrapText="1"/>
    </xf>
    <xf numFmtId="0" fontId="6" fillId="2" borderId="19" xfId="0" applyFont="1" applyFill="1" applyBorder="1" applyAlignment="1">
      <alignment/>
    </xf>
    <xf numFmtId="0" fontId="8" fillId="3" borderId="3" xfId="0" applyFont="1" applyFill="1" applyBorder="1" applyAlignment="1">
      <alignment horizontal="left"/>
    </xf>
    <xf numFmtId="0" fontId="6" fillId="2" borderId="3" xfId="0" applyFont="1" applyFill="1" applyBorder="1" applyAlignment="1">
      <alignment/>
    </xf>
    <xf numFmtId="0" fontId="4" fillId="2" borderId="15" xfId="0" applyFont="1" applyFill="1" applyBorder="1" applyAlignment="1">
      <alignment/>
    </xf>
    <xf numFmtId="0" fontId="6" fillId="3" borderId="9" xfId="0" applyFont="1" applyFill="1" applyBorder="1" applyAlignment="1">
      <alignment horizontal="left"/>
    </xf>
    <xf numFmtId="49" fontId="10" fillId="3" borderId="2" xfId="0" applyNumberFormat="1" applyFont="1" applyFill="1" applyBorder="1" applyAlignment="1">
      <alignment horizontal="center" vertical="top"/>
    </xf>
    <xf numFmtId="0" fontId="11" fillId="3" borderId="10" xfId="0" applyFont="1" applyFill="1" applyBorder="1" applyAlignment="1">
      <alignment horizontal="left" wrapText="1"/>
    </xf>
    <xf numFmtId="49" fontId="10" fillId="3" borderId="3" xfId="0" applyNumberFormat="1" applyFont="1" applyFill="1" applyBorder="1" applyAlignment="1">
      <alignment horizontal="center" vertical="top"/>
    </xf>
    <xf numFmtId="0" fontId="10" fillId="2" borderId="5" xfId="0" applyFont="1" applyFill="1" applyBorder="1" applyAlignment="1">
      <alignment/>
    </xf>
    <xf numFmtId="0" fontId="10" fillId="2" borderId="6" xfId="0" applyFont="1" applyFill="1" applyBorder="1" applyAlignment="1">
      <alignment/>
    </xf>
    <xf numFmtId="49" fontId="10" fillId="2" borderId="8" xfId="0" applyNumberFormat="1" applyFont="1" applyFill="1" applyBorder="1" applyAlignment="1">
      <alignment horizontal="center" vertical="top"/>
    </xf>
    <xf numFmtId="0" fontId="10" fillId="2" borderId="10" xfId="0" applyFont="1" applyFill="1" applyBorder="1" applyAlignment="1">
      <alignment/>
    </xf>
    <xf numFmtId="0" fontId="10" fillId="2" borderId="3" xfId="0" applyFont="1" applyFill="1" applyBorder="1" applyAlignment="1">
      <alignment/>
    </xf>
    <xf numFmtId="0" fontId="4" fillId="6" borderId="1" xfId="0" applyFont="1" applyFill="1" applyBorder="1" applyAlignment="1">
      <alignment/>
    </xf>
    <xf numFmtId="0" fontId="4" fillId="3" borderId="1" xfId="0" applyFont="1" applyFill="1" applyBorder="1" applyAlignment="1">
      <alignment horizontal="centerContinuous" vertical="center"/>
    </xf>
    <xf numFmtId="0" fontId="4" fillId="0" borderId="0" xfId="0" applyFont="1" applyFill="1" applyBorder="1" applyAlignment="1">
      <alignment horizontal="right"/>
    </xf>
    <xf numFmtId="49" fontId="11" fillId="3" borderId="1" xfId="0" applyNumberFormat="1" applyFont="1" applyFill="1" applyBorder="1" applyAlignment="1">
      <alignment horizontal="center" vertical="top"/>
    </xf>
    <xf numFmtId="0" fontId="11" fillId="3" borderId="1" xfId="0" applyFont="1" applyFill="1" applyBorder="1" applyAlignment="1">
      <alignment/>
    </xf>
    <xf numFmtId="4" fontId="10" fillId="0" borderId="1" xfId="0" applyNumberFormat="1" applyFont="1" applyFill="1" applyBorder="1" applyAlignment="1">
      <alignment horizontal="center" wrapText="1"/>
    </xf>
    <xf numFmtId="4" fontId="10" fillId="0" borderId="1" xfId="0" applyNumberFormat="1" applyFont="1" applyFill="1" applyBorder="1" applyAlignment="1">
      <alignment horizontal="centerContinuous" vertical="justify"/>
    </xf>
    <xf numFmtId="3" fontId="4" fillId="0" borderId="0" xfId="0" applyNumberFormat="1" applyFont="1" applyFill="1" applyBorder="1" applyAlignment="1" applyProtection="1">
      <alignment horizontal="right" vertical="justify"/>
      <protection locked="0"/>
    </xf>
    <xf numFmtId="3" fontId="4" fillId="0" borderId="12" xfId="0" applyNumberFormat="1" applyFont="1" applyFill="1" applyBorder="1" applyAlignment="1" applyProtection="1">
      <alignment horizontal="right" vertical="justify"/>
      <protection locked="0"/>
    </xf>
    <xf numFmtId="3" fontId="4" fillId="0" borderId="8" xfId="0" applyNumberFormat="1" applyFont="1" applyFill="1" applyBorder="1" applyAlignment="1" applyProtection="1">
      <alignment horizontal="right" vertical="justify"/>
      <protection locked="0"/>
    </xf>
    <xf numFmtId="3" fontId="4" fillId="0" borderId="3" xfId="0" applyNumberFormat="1" applyFont="1" applyFill="1" applyBorder="1" applyAlignment="1" applyProtection="1">
      <alignment horizontal="right"/>
      <protection locked="0"/>
    </xf>
    <xf numFmtId="3" fontId="4" fillId="0" borderId="12"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vertical="center"/>
      <protection locked="0"/>
    </xf>
    <xf numFmtId="3" fontId="4" fillId="0" borderId="3" xfId="0" applyNumberFormat="1" applyFont="1" applyFill="1" applyBorder="1" applyAlignment="1" applyProtection="1">
      <alignment horizontal="right" vertical="center"/>
      <protection locked="0"/>
    </xf>
    <xf numFmtId="4" fontId="6" fillId="0" borderId="1" xfId="0" applyNumberFormat="1" applyFont="1" applyFill="1" applyBorder="1" applyAlignment="1" applyProtection="1">
      <alignment horizontal="right"/>
      <protection locked="0"/>
    </xf>
    <xf numFmtId="3" fontId="4" fillId="0" borderId="0" xfId="0" applyNumberFormat="1" applyFont="1" applyAlignment="1" applyProtection="1">
      <alignment horizontal="right"/>
      <protection/>
    </xf>
    <xf numFmtId="49" fontId="4"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 fillId="0" borderId="0" xfId="0" applyFont="1" applyBorder="1" applyAlignment="1">
      <alignment/>
    </xf>
    <xf numFmtId="0" fontId="4" fillId="3" borderId="4" xfId="0" applyFont="1" applyFill="1" applyBorder="1" applyAlignment="1">
      <alignment horizontal="center"/>
    </xf>
    <xf numFmtId="0" fontId="4" fillId="3" borderId="6" xfId="0" applyFont="1" applyFill="1" applyBorder="1" applyAlignment="1">
      <alignment horizontal="center"/>
    </xf>
    <xf numFmtId="49" fontId="4" fillId="0" borderId="8" xfId="0" applyNumberFormat="1" applyFont="1" applyFill="1" applyBorder="1" applyAlignment="1">
      <alignment horizontal="left"/>
    </xf>
    <xf numFmtId="49" fontId="4" fillId="0" borderId="9" xfId="0" applyNumberFormat="1" applyFont="1" applyFill="1" applyBorder="1" applyAlignment="1">
      <alignment horizontal="left"/>
    </xf>
    <xf numFmtId="49" fontId="4" fillId="0" borderId="2" xfId="0" applyNumberFormat="1" applyFont="1" applyFill="1" applyBorder="1" applyAlignment="1">
      <alignment horizontal="left"/>
    </xf>
    <xf numFmtId="0" fontId="4" fillId="3" borderId="6" xfId="0" applyFont="1" applyFill="1" applyBorder="1" applyAlignment="1">
      <alignment horizontal="centerContinuous" vertical="center"/>
    </xf>
    <xf numFmtId="3" fontId="4" fillId="0" borderId="10" xfId="0" applyNumberFormat="1" applyFont="1" applyFill="1" applyBorder="1" applyAlignment="1" applyProtection="1">
      <alignment horizontal="right" vertical="top"/>
      <protection locked="0"/>
    </xf>
    <xf numFmtId="3" fontId="4" fillId="0" borderId="3" xfId="0" applyNumberFormat="1" applyFont="1" applyFill="1" applyBorder="1" applyAlignment="1" applyProtection="1">
      <alignment horizontal="right" vertical="top"/>
      <protection locked="0"/>
    </xf>
    <xf numFmtId="3" fontId="4" fillId="0" borderId="15" xfId="0" applyNumberFormat="1" applyFont="1" applyFill="1" applyBorder="1" applyAlignment="1" applyProtection="1">
      <alignment horizontal="right" vertical="top"/>
      <protection locked="0"/>
    </xf>
    <xf numFmtId="3" fontId="4" fillId="0" borderId="14"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0" borderId="11" xfId="0" applyNumberFormat="1" applyFont="1" applyFill="1" applyBorder="1" applyAlignment="1" applyProtection="1">
      <alignment horizontal="right" vertical="top"/>
      <protection locked="0"/>
    </xf>
    <xf numFmtId="3" fontId="6" fillId="0" borderId="4" xfId="0" applyNumberFormat="1" applyFont="1" applyFill="1" applyBorder="1" applyAlignment="1" applyProtection="1">
      <alignment horizontal="right" vertical="top"/>
      <protection locked="0"/>
    </xf>
    <xf numFmtId="3" fontId="6" fillId="0" borderId="5" xfId="0" applyNumberFormat="1" applyFont="1" applyFill="1" applyBorder="1" applyAlignment="1" applyProtection="1">
      <alignment horizontal="right" vertical="top"/>
      <protection locked="0"/>
    </xf>
    <xf numFmtId="3" fontId="6" fillId="0" borderId="6" xfId="0" applyNumberFormat="1" applyFont="1" applyFill="1" applyBorder="1" applyAlignment="1" applyProtection="1">
      <alignment horizontal="right" vertical="top"/>
      <protection locked="0"/>
    </xf>
    <xf numFmtId="3" fontId="4" fillId="0" borderId="3" xfId="0" applyNumberFormat="1" applyFont="1" applyFill="1" applyBorder="1" applyAlignment="1" applyProtection="1">
      <alignment horizontal="right" vertical="top" wrapText="1"/>
      <protection locked="0"/>
    </xf>
    <xf numFmtId="3" fontId="4" fillId="0" borderId="15" xfId="0" applyNumberFormat="1" applyFont="1" applyFill="1" applyBorder="1" applyAlignment="1" applyProtection="1">
      <alignment horizontal="right" vertical="top" wrapText="1"/>
      <protection locked="0"/>
    </xf>
    <xf numFmtId="3" fontId="4" fillId="0" borderId="10" xfId="0" applyNumberFormat="1" applyFont="1" applyFill="1" applyBorder="1" applyAlignment="1" applyProtection="1">
      <alignment horizontal="right" vertical="top" wrapText="1"/>
      <protection locked="0"/>
    </xf>
    <xf numFmtId="0" fontId="15" fillId="7" borderId="11" xfId="0" applyFont="1" applyFill="1" applyBorder="1" applyAlignment="1">
      <alignment horizontal="left" vertical="center" wrapText="1"/>
    </xf>
    <xf numFmtId="170" fontId="6" fillId="2" borderId="4" xfId="0" applyNumberFormat="1" applyFont="1" applyFill="1" applyBorder="1" applyAlignment="1">
      <alignment wrapText="1"/>
    </xf>
    <xf numFmtId="170" fontId="6" fillId="2" borderId="6" xfId="0" applyNumberFormat="1" applyFont="1" applyFill="1" applyBorder="1" applyAlignment="1">
      <alignment wrapText="1"/>
    </xf>
    <xf numFmtId="0" fontId="4" fillId="2" borderId="5" xfId="0" applyFont="1" applyFill="1" applyBorder="1" applyAlignment="1">
      <alignment wrapText="1"/>
    </xf>
    <xf numFmtId="0" fontId="15" fillId="7" borderId="4" xfId="0" applyFont="1" applyFill="1" applyBorder="1" applyAlignment="1">
      <alignment horizontal="left" vertical="center" wrapText="1"/>
    </xf>
    <xf numFmtId="0" fontId="15" fillId="7" borderId="5" xfId="0" applyFont="1" applyFill="1" applyBorder="1" applyAlignment="1">
      <alignment horizontal="left" vertical="center" wrapText="1"/>
    </xf>
    <xf numFmtId="49" fontId="4" fillId="0" borderId="4" xfId="0" applyNumberFormat="1" applyFont="1" applyFill="1" applyBorder="1" applyAlignment="1" applyProtection="1">
      <alignment horizontal="center"/>
      <protection locked="0"/>
    </xf>
    <xf numFmtId="49" fontId="4" fillId="0" borderId="5" xfId="0" applyNumberFormat="1" applyFont="1" applyFill="1" applyBorder="1" applyAlignment="1" applyProtection="1">
      <alignment horizontal="center"/>
      <protection locked="0"/>
    </xf>
    <xf numFmtId="49" fontId="4" fillId="0" borderId="6" xfId="0" applyNumberFormat="1" applyFont="1" applyFill="1" applyBorder="1" applyAlignment="1" applyProtection="1">
      <alignment horizontal="center"/>
      <protection locked="0"/>
    </xf>
    <xf numFmtId="3" fontId="4" fillId="0" borderId="14" xfId="0" applyNumberFormat="1" applyFont="1" applyFill="1" applyBorder="1" applyAlignment="1" applyProtection="1">
      <alignment horizontal="right" vertical="top" wrapText="1"/>
      <protection locked="0"/>
    </xf>
    <xf numFmtId="3" fontId="4" fillId="0" borderId="0" xfId="0" applyNumberFormat="1" applyFont="1" applyFill="1" applyBorder="1" applyAlignment="1" applyProtection="1">
      <alignment horizontal="right" vertical="top" wrapText="1"/>
      <protection locked="0"/>
    </xf>
    <xf numFmtId="3" fontId="4" fillId="0" borderId="11" xfId="0" applyNumberFormat="1" applyFont="1" applyFill="1" applyBorder="1" applyAlignment="1" applyProtection="1">
      <alignment horizontal="right" vertical="top" wrapText="1"/>
      <protection locked="0"/>
    </xf>
    <xf numFmtId="0" fontId="4" fillId="3" borderId="5" xfId="0" applyNumberFormat="1" applyFont="1" applyFill="1" applyBorder="1" applyAlignment="1">
      <alignment horizontal="left"/>
    </xf>
    <xf numFmtId="0" fontId="4" fillId="3" borderId="6" xfId="0" applyNumberFormat="1" applyFont="1" applyFill="1" applyBorder="1" applyAlignment="1">
      <alignment horizontal="left"/>
    </xf>
    <xf numFmtId="0" fontId="15" fillId="7" borderId="3" xfId="0" applyFont="1" applyFill="1" applyBorder="1" applyAlignment="1">
      <alignment horizontal="left" vertical="center" wrapText="1"/>
    </xf>
    <xf numFmtId="170" fontId="4" fillId="2" borderId="4" xfId="0" applyNumberFormat="1" applyFont="1" applyFill="1" applyBorder="1" applyAlignment="1">
      <alignment horizontal="left"/>
    </xf>
    <xf numFmtId="170" fontId="4" fillId="2" borderId="6" xfId="0" applyNumberFormat="1" applyFont="1" applyFill="1" applyBorder="1" applyAlignment="1">
      <alignment horizontal="left"/>
    </xf>
    <xf numFmtId="0" fontId="15" fillId="7" borderId="0" xfId="0" applyFont="1" applyFill="1" applyBorder="1" applyAlignment="1">
      <alignment horizontal="left" vertical="center" wrapText="1"/>
    </xf>
    <xf numFmtId="170" fontId="4" fillId="2" borderId="6" xfId="0" applyNumberFormat="1" applyFont="1" applyFill="1" applyBorder="1" applyAlignment="1">
      <alignment horizontal="left"/>
    </xf>
    <xf numFmtId="0" fontId="4" fillId="3" borderId="4" xfId="0" applyNumberFormat="1" applyFont="1" applyFill="1" applyBorder="1" applyAlignment="1">
      <alignment horizontal="left"/>
    </xf>
    <xf numFmtId="170" fontId="4" fillId="2" borderId="4" xfId="0" applyNumberFormat="1" applyFont="1" applyFill="1" applyBorder="1" applyAlignment="1">
      <alignment horizontal="left"/>
    </xf>
    <xf numFmtId="170" fontId="4" fillId="2" borderId="5" xfId="0" applyNumberFormat="1" applyFont="1" applyFill="1" applyBorder="1" applyAlignment="1">
      <alignment horizontal="left"/>
    </xf>
    <xf numFmtId="0" fontId="0" fillId="0" borderId="11" xfId="0" applyBorder="1" applyAlignment="1">
      <alignment/>
    </xf>
    <xf numFmtId="0" fontId="0" fillId="0" borderId="10" xfId="0" applyBorder="1" applyAlignment="1">
      <alignment/>
    </xf>
    <xf numFmtId="0" fontId="0" fillId="0" borderId="3" xfId="0" applyBorder="1" applyAlignment="1">
      <alignment/>
    </xf>
    <xf numFmtId="0" fontId="0" fillId="0" borderId="15" xfId="0" applyBorder="1" applyAlignment="1">
      <alignment/>
    </xf>
    <xf numFmtId="49" fontId="4" fillId="0" borderId="4" xfId="0" applyNumberFormat="1" applyFont="1" applyFill="1" applyBorder="1" applyAlignment="1" applyProtection="1">
      <alignment horizontal="left"/>
      <protection locked="0"/>
    </xf>
    <xf numFmtId="49" fontId="4" fillId="0" borderId="5" xfId="0" applyNumberFormat="1" applyFont="1" applyFill="1" applyBorder="1" applyAlignment="1" applyProtection="1">
      <alignment horizontal="left"/>
      <protection locked="0"/>
    </xf>
    <xf numFmtId="49" fontId="4" fillId="0" borderId="6" xfId="0" applyNumberFormat="1" applyFont="1" applyFill="1" applyBorder="1" applyAlignment="1" applyProtection="1">
      <alignment horizontal="left"/>
      <protection locked="0"/>
    </xf>
    <xf numFmtId="0" fontId="0" fillId="0" borderId="9" xfId="0" applyBorder="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49" fontId="1" fillId="0" borderId="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15" xfId="0" applyNumberFormat="1" applyFont="1" applyBorder="1" applyAlignment="1" applyProtection="1">
      <alignment horizontal="left" vertical="top" wrapText="1"/>
      <protection locked="0"/>
    </xf>
    <xf numFmtId="0" fontId="1" fillId="3" borderId="9" xfId="0" applyFont="1" applyFill="1" applyBorder="1" applyAlignment="1">
      <alignment horizontal="left"/>
    </xf>
    <xf numFmtId="0" fontId="1" fillId="3" borderId="2" xfId="0" applyFont="1" applyFill="1" applyBorder="1" applyAlignment="1">
      <alignment horizontal="left"/>
    </xf>
    <xf numFmtId="0" fontId="1" fillId="3" borderId="13" xfId="0" applyFont="1" applyFill="1" applyBorder="1" applyAlignment="1">
      <alignment horizontal="left"/>
    </xf>
    <xf numFmtId="0" fontId="15" fillId="7" borderId="20" xfId="0" applyFont="1" applyFill="1" applyBorder="1" applyAlignment="1">
      <alignment horizontal="left" vertical="center" wrapText="1"/>
    </xf>
    <xf numFmtId="49" fontId="1" fillId="0" borderId="9"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4" fillId="0" borderId="2" xfId="0" applyNumberFormat="1" applyFont="1" applyFill="1" applyBorder="1" applyAlignment="1" applyProtection="1">
      <alignment horizontal="left"/>
      <protection locked="0"/>
    </xf>
    <xf numFmtId="49" fontId="4" fillId="0" borderId="13" xfId="0" applyNumberFormat="1" applyFont="1" applyFill="1" applyBorder="1" applyAlignment="1" applyProtection="1">
      <alignment horizontal="left"/>
      <protection locked="0"/>
    </xf>
    <xf numFmtId="0" fontId="1" fillId="3" borderId="10" xfId="0" applyFont="1" applyFill="1" applyBorder="1" applyAlignment="1">
      <alignment horizontal="center"/>
    </xf>
    <xf numFmtId="0" fontId="1" fillId="3" borderId="3" xfId="0" applyFont="1" applyFill="1" applyBorder="1" applyAlignment="1">
      <alignment horizontal="center"/>
    </xf>
    <xf numFmtId="0" fontId="1" fillId="3" borderId="15" xfId="0" applyFont="1" applyFill="1" applyBorder="1" applyAlignment="1">
      <alignment horizontal="center"/>
    </xf>
    <xf numFmtId="170" fontId="6" fillId="0" borderId="21" xfId="0" applyNumberFormat="1" applyFont="1" applyFill="1" applyBorder="1" applyAlignment="1">
      <alignment horizontal="center"/>
    </xf>
    <xf numFmtId="170" fontId="6" fillId="2" borderId="16" xfId="0" applyNumberFormat="1" applyFont="1" applyFill="1" applyBorder="1" applyAlignment="1">
      <alignment horizontal="right"/>
    </xf>
    <xf numFmtId="170" fontId="6" fillId="2" borderId="17" xfId="0" applyNumberFormat="1" applyFont="1" applyFill="1" applyBorder="1" applyAlignment="1">
      <alignment horizontal="right"/>
    </xf>
    <xf numFmtId="170" fontId="6" fillId="2" borderId="18" xfId="0" applyNumberFormat="1" applyFont="1" applyFill="1" applyBorder="1" applyAlignment="1">
      <alignment horizontal="right"/>
    </xf>
    <xf numFmtId="170" fontId="6" fillId="2" borderId="10" xfId="0" applyNumberFormat="1" applyFont="1" applyFill="1" applyBorder="1" applyAlignment="1">
      <alignment horizontal="left" wrapText="1"/>
    </xf>
    <xf numFmtId="170" fontId="6" fillId="2" borderId="3" xfId="0" applyNumberFormat="1" applyFont="1" applyFill="1" applyBorder="1" applyAlignment="1">
      <alignment horizontal="left" wrapText="1"/>
    </xf>
    <xf numFmtId="170" fontId="6" fillId="2" borderId="15" xfId="0" applyNumberFormat="1" applyFont="1" applyFill="1" applyBorder="1" applyAlignment="1">
      <alignment horizontal="left" wrapText="1"/>
    </xf>
    <xf numFmtId="49" fontId="4" fillId="0" borderId="9" xfId="0" applyNumberFormat="1" applyFont="1" applyFill="1" applyBorder="1" applyAlignment="1" applyProtection="1">
      <alignment horizontal="left"/>
      <protection locked="0"/>
    </xf>
    <xf numFmtId="170" fontId="4" fillId="2" borderId="1" xfId="0" applyNumberFormat="1" applyFont="1" applyFill="1" applyBorder="1" applyAlignment="1">
      <alignment horizontal="left"/>
    </xf>
    <xf numFmtId="49" fontId="4" fillId="0" borderId="4" xfId="0" applyNumberFormat="1" applyFont="1" applyFill="1" applyBorder="1" applyAlignment="1" applyProtection="1">
      <alignment/>
      <protection locked="0"/>
    </xf>
    <xf numFmtId="49" fontId="4" fillId="0" borderId="5" xfId="0" applyNumberFormat="1" applyFont="1" applyFill="1" applyBorder="1" applyAlignment="1" applyProtection="1">
      <alignment/>
      <protection locked="0"/>
    </xf>
    <xf numFmtId="49" fontId="4" fillId="0" borderId="6" xfId="0" applyNumberFormat="1" applyFont="1" applyFill="1" applyBorder="1" applyAlignment="1" applyProtection="1">
      <alignment/>
      <protection locked="0"/>
    </xf>
    <xf numFmtId="177" fontId="4" fillId="0" borderId="4" xfId="0" applyNumberFormat="1" applyFont="1" applyFill="1" applyBorder="1" applyAlignment="1" applyProtection="1">
      <alignment horizontal="left"/>
      <protection locked="0"/>
    </xf>
    <xf numFmtId="177" fontId="4" fillId="0" borderId="5" xfId="0" applyNumberFormat="1" applyFont="1" applyFill="1" applyBorder="1" applyAlignment="1" applyProtection="1">
      <alignment horizontal="left"/>
      <protection locked="0"/>
    </xf>
    <xf numFmtId="177" fontId="4" fillId="0" borderId="6" xfId="0" applyNumberFormat="1" applyFont="1" applyFill="1" applyBorder="1" applyAlignment="1" applyProtection="1">
      <alignment horizontal="left"/>
      <protection locked="0"/>
    </xf>
    <xf numFmtId="49" fontId="4" fillId="0" borderId="9" xfId="0" applyNumberFormat="1" applyFont="1" applyFill="1" applyBorder="1" applyAlignment="1" applyProtection="1">
      <alignment/>
      <protection locked="0"/>
    </xf>
    <xf numFmtId="49" fontId="4" fillId="0" borderId="2" xfId="0" applyNumberFormat="1" applyFont="1" applyFill="1" applyBorder="1" applyAlignment="1" applyProtection="1">
      <alignment/>
      <protection locked="0"/>
    </xf>
    <xf numFmtId="49" fontId="4" fillId="0" borderId="13" xfId="0" applyNumberFormat="1" applyFont="1" applyFill="1" applyBorder="1" applyAlignment="1" applyProtection="1">
      <alignment/>
      <protection locked="0"/>
    </xf>
    <xf numFmtId="49" fontId="4" fillId="0" borderId="1" xfId="0" applyNumberFormat="1" applyFont="1" applyFill="1" applyBorder="1" applyAlignment="1" applyProtection="1">
      <alignment/>
      <protection locked="0"/>
    </xf>
    <xf numFmtId="49" fontId="4" fillId="0" borderId="4" xfId="0" applyNumberFormat="1" applyFont="1" applyBorder="1" applyAlignment="1" applyProtection="1">
      <alignment horizontal="left"/>
      <protection locked="0"/>
    </xf>
    <xf numFmtId="49" fontId="4" fillId="0" borderId="5" xfId="0" applyNumberFormat="1" applyFont="1" applyBorder="1" applyAlignment="1" applyProtection="1">
      <alignment horizontal="left"/>
      <protection locked="0"/>
    </xf>
    <xf numFmtId="49" fontId="4" fillId="0" borderId="6" xfId="0" applyNumberFormat="1" applyFont="1" applyBorder="1" applyAlignment="1" applyProtection="1">
      <alignment horizontal="left"/>
      <protection locked="0"/>
    </xf>
    <xf numFmtId="170" fontId="6" fillId="2" borderId="4" xfId="0" applyNumberFormat="1" applyFont="1" applyFill="1" applyBorder="1" applyAlignment="1">
      <alignment horizontal="left"/>
    </xf>
    <xf numFmtId="170" fontId="6" fillId="2" borderId="5" xfId="0" applyNumberFormat="1" applyFont="1" applyFill="1" applyBorder="1" applyAlignment="1">
      <alignment horizontal="left"/>
    </xf>
    <xf numFmtId="170" fontId="6" fillId="2" borderId="6" xfId="0" applyNumberFormat="1"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49" fontId="1" fillId="2" borderId="4"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3" borderId="14" xfId="0" applyFont="1" applyFill="1" applyBorder="1" applyAlignment="1">
      <alignment horizontal="center"/>
    </xf>
    <xf numFmtId="0" fontId="1" fillId="3" borderId="0" xfId="0" applyFont="1" applyFill="1" applyBorder="1" applyAlignment="1">
      <alignment horizontal="center"/>
    </xf>
    <xf numFmtId="0" fontId="1" fillId="3" borderId="11" xfId="0" applyFont="1" applyFill="1" applyBorder="1" applyAlignment="1">
      <alignment horizontal="center"/>
    </xf>
    <xf numFmtId="3" fontId="4" fillId="0" borderId="9" xfId="0" applyNumberFormat="1" applyFont="1" applyFill="1" applyBorder="1" applyAlignment="1" applyProtection="1">
      <alignment horizontal="right" vertical="top"/>
      <protection locked="0"/>
    </xf>
    <xf numFmtId="3" fontId="4" fillId="0" borderId="2" xfId="0" applyNumberFormat="1" applyFont="1" applyFill="1" applyBorder="1" applyAlignment="1" applyProtection="1">
      <alignment horizontal="right" vertical="top"/>
      <protection locked="0"/>
    </xf>
    <xf numFmtId="3" fontId="4" fillId="0" borderId="13" xfId="0" applyNumberFormat="1" applyFont="1" applyFill="1" applyBorder="1" applyAlignment="1" applyProtection="1">
      <alignment horizontal="right" vertical="top"/>
      <protection locked="0"/>
    </xf>
    <xf numFmtId="0" fontId="6" fillId="2" borderId="5" xfId="0" applyFont="1" applyFill="1" applyBorder="1" applyAlignment="1">
      <alignment horizontal="center" wrapText="1"/>
    </xf>
    <xf numFmtId="3" fontId="4" fillId="0" borderId="9" xfId="0" applyNumberFormat="1" applyFont="1" applyFill="1" applyBorder="1" applyAlignment="1" applyProtection="1">
      <alignment horizontal="right" vertical="top" wrapText="1"/>
      <protection locked="0"/>
    </xf>
    <xf numFmtId="3" fontId="4" fillId="0" borderId="2" xfId="0" applyNumberFormat="1" applyFont="1" applyFill="1" applyBorder="1" applyAlignment="1" applyProtection="1">
      <alignment horizontal="right" vertical="top" wrapText="1"/>
      <protection locked="0"/>
    </xf>
    <xf numFmtId="3" fontId="4" fillId="0" borderId="13" xfId="0" applyNumberFormat="1" applyFont="1" applyFill="1" applyBorder="1" applyAlignment="1" applyProtection="1">
      <alignment horizontal="right" vertical="top" wrapText="1"/>
      <protection locked="0"/>
    </xf>
    <xf numFmtId="3" fontId="4" fillId="0" borderId="14" xfId="19" applyNumberFormat="1" applyFont="1" applyFill="1" applyBorder="1" applyAlignment="1" applyProtection="1">
      <alignment horizontal="right" vertical="top" wrapText="1"/>
      <protection locked="0"/>
    </xf>
    <xf numFmtId="3" fontId="4" fillId="0" borderId="0" xfId="19" applyNumberFormat="1" applyFont="1" applyFill="1" applyBorder="1" applyAlignment="1" applyProtection="1">
      <alignment horizontal="right" vertical="top" wrapText="1"/>
      <protection locked="0"/>
    </xf>
    <xf numFmtId="3" fontId="4" fillId="0" borderId="11" xfId="19" applyNumberFormat="1" applyFont="1" applyFill="1" applyBorder="1" applyAlignment="1" applyProtection="1">
      <alignment horizontal="right" vertical="top" wrapText="1"/>
      <protection locked="0"/>
    </xf>
    <xf numFmtId="3" fontId="4" fillId="0" borderId="0" xfId="0" applyNumberFormat="1" applyFont="1" applyFill="1" applyAlignment="1" applyProtection="1">
      <alignment horizontal="right" vertical="top"/>
      <protection locked="0"/>
    </xf>
    <xf numFmtId="4" fontId="6" fillId="0" borderId="4" xfId="0" applyNumberFormat="1" applyFont="1" applyFill="1" applyBorder="1" applyAlignment="1" applyProtection="1">
      <alignment horizontal="right" vertical="top"/>
      <protection locked="0"/>
    </xf>
    <xf numFmtId="4" fontId="6" fillId="0" borderId="5" xfId="0" applyNumberFormat="1" applyFont="1" applyFill="1" applyBorder="1" applyAlignment="1" applyProtection="1">
      <alignment horizontal="right" vertical="top"/>
      <protection locked="0"/>
    </xf>
    <xf numFmtId="4" fontId="6" fillId="0" borderId="6" xfId="0" applyNumberFormat="1" applyFont="1" applyFill="1" applyBorder="1" applyAlignment="1" applyProtection="1">
      <alignment horizontal="right" vertical="top"/>
      <protection locked="0"/>
    </xf>
    <xf numFmtId="0" fontId="6" fillId="2" borderId="0" xfId="0" applyFont="1" applyFill="1" applyBorder="1" applyAlignment="1">
      <alignment horizontal="center"/>
    </xf>
    <xf numFmtId="0" fontId="6" fillId="2" borderId="11" xfId="0" applyFont="1" applyFill="1" applyBorder="1" applyAlignment="1">
      <alignment horizontal="center"/>
    </xf>
    <xf numFmtId="0" fontId="6" fillId="2" borderId="0" xfId="0" applyFont="1" applyFill="1" applyBorder="1" applyAlignment="1">
      <alignment horizontal="center" wrapText="1"/>
    </xf>
    <xf numFmtId="0" fontId="6" fillId="2" borderId="11" xfId="0" applyFont="1" applyFill="1" applyBorder="1" applyAlignment="1">
      <alignment horizontal="center" wrapText="1"/>
    </xf>
    <xf numFmtId="0" fontId="6" fillId="2" borderId="3" xfId="0" applyFont="1" applyFill="1" applyBorder="1" applyAlignment="1">
      <alignment horizontal="center" wrapText="1"/>
    </xf>
    <xf numFmtId="0" fontId="6" fillId="2" borderId="15" xfId="0" applyFont="1" applyFill="1" applyBorder="1" applyAlignment="1">
      <alignment horizontal="center" wrapText="1"/>
    </xf>
    <xf numFmtId="0" fontId="6" fillId="2" borderId="10" xfId="0" applyFont="1" applyFill="1" applyBorder="1" applyAlignment="1">
      <alignment horizontal="left" wrapText="1"/>
    </xf>
    <xf numFmtId="0" fontId="6" fillId="2" borderId="3" xfId="0" applyFont="1" applyFill="1" applyBorder="1" applyAlignment="1">
      <alignment horizontal="left" wrapText="1"/>
    </xf>
    <xf numFmtId="0" fontId="6" fillId="2" borderId="2" xfId="0" applyFont="1" applyFill="1" applyBorder="1" applyAlignment="1">
      <alignment horizontal="center" wrapText="1"/>
    </xf>
    <xf numFmtId="4" fontId="4" fillId="0" borderId="0" xfId="0" applyNumberFormat="1" applyFont="1" applyFill="1" applyBorder="1" applyAlignment="1" applyProtection="1">
      <alignment horizontal="right" vertical="top"/>
      <protection locked="0"/>
    </xf>
    <xf numFmtId="0" fontId="6" fillId="2" borderId="4" xfId="0" applyFont="1" applyFill="1" applyBorder="1" applyAlignment="1">
      <alignment horizontal="center" wrapText="1"/>
    </xf>
    <xf numFmtId="49" fontId="4" fillId="0" borderId="9" xfId="0" applyNumberFormat="1" applyFont="1" applyFill="1" applyBorder="1" applyAlignment="1" applyProtection="1">
      <alignment horizontal="left" vertical="top"/>
      <protection locked="0"/>
    </xf>
    <xf numFmtId="49" fontId="4" fillId="0" borderId="2" xfId="0" applyNumberFormat="1" applyFont="1" applyFill="1" applyBorder="1" applyAlignment="1" applyProtection="1">
      <alignment horizontal="left" vertical="top"/>
      <protection locked="0"/>
    </xf>
    <xf numFmtId="49" fontId="4" fillId="0" borderId="13" xfId="0" applyNumberFormat="1" applyFont="1" applyFill="1" applyBorder="1" applyAlignment="1" applyProtection="1">
      <alignment horizontal="left" vertical="top"/>
      <protection locked="0"/>
    </xf>
    <xf numFmtId="49" fontId="4" fillId="0" borderId="14" xfId="0" applyNumberFormat="1" applyFont="1" applyFill="1" applyBorder="1" applyAlignment="1" applyProtection="1">
      <alignment horizontal="left" vertical="top"/>
      <protection locked="0"/>
    </xf>
    <xf numFmtId="49" fontId="4" fillId="0" borderId="0" xfId="0" applyNumberFormat="1" applyFont="1" applyFill="1" applyBorder="1" applyAlignment="1" applyProtection="1">
      <alignment horizontal="left" vertical="top"/>
      <protection locked="0"/>
    </xf>
    <xf numFmtId="49" fontId="4" fillId="0" borderId="11" xfId="0" applyNumberFormat="1"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protection locked="0"/>
    </xf>
    <xf numFmtId="49" fontId="4" fillId="0" borderId="3" xfId="0" applyNumberFormat="1" applyFont="1" applyFill="1" applyBorder="1" applyAlignment="1" applyProtection="1">
      <alignment horizontal="left" vertical="top"/>
      <protection locked="0"/>
    </xf>
    <xf numFmtId="49" fontId="4" fillId="0" borderId="15" xfId="0" applyNumberFormat="1" applyFont="1" applyFill="1" applyBorder="1" applyAlignment="1" applyProtection="1">
      <alignment horizontal="left" vertical="top"/>
      <protection locked="0"/>
    </xf>
    <xf numFmtId="3" fontId="6" fillId="0" borderId="9" xfId="0" applyNumberFormat="1" applyFont="1" applyFill="1" applyBorder="1" applyAlignment="1" applyProtection="1">
      <alignment horizontal="right" vertical="top"/>
      <protection locked="0"/>
    </xf>
    <xf numFmtId="3" fontId="6" fillId="0" borderId="2" xfId="0" applyNumberFormat="1" applyFont="1" applyFill="1" applyBorder="1" applyAlignment="1" applyProtection="1">
      <alignment horizontal="right" vertical="top"/>
      <protection locked="0"/>
    </xf>
    <xf numFmtId="3" fontId="6" fillId="0" borderId="13" xfId="0" applyNumberFormat="1" applyFont="1" applyFill="1" applyBorder="1" applyAlignment="1" applyProtection="1">
      <alignment horizontal="right" vertical="top"/>
      <protection locked="0"/>
    </xf>
    <xf numFmtId="0" fontId="4" fillId="3" borderId="9" xfId="0" applyFont="1" applyFill="1" applyBorder="1" applyAlignment="1">
      <alignment horizontal="left" wrapText="1"/>
    </xf>
    <xf numFmtId="0" fontId="4" fillId="3" borderId="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0" xfId="0" applyFont="1" applyFill="1" applyBorder="1" applyAlignment="1">
      <alignment horizontal="left" wrapText="1"/>
    </xf>
    <xf numFmtId="0" fontId="4" fillId="3" borderId="11" xfId="0" applyFont="1" applyFill="1" applyBorder="1" applyAlignment="1">
      <alignment horizontal="left" wrapText="1"/>
    </xf>
    <xf numFmtId="0" fontId="6" fillId="2" borderId="3" xfId="0" applyFont="1" applyFill="1" applyBorder="1" applyAlignment="1">
      <alignment horizontal="center"/>
    </xf>
    <xf numFmtId="0" fontId="6" fillId="2" borderId="9" xfId="0" applyFont="1" applyFill="1" applyBorder="1" applyAlignment="1">
      <alignment horizontal="center" wrapText="1"/>
    </xf>
    <xf numFmtId="3" fontId="6" fillId="0" borderId="10" xfId="0" applyNumberFormat="1" applyFont="1" applyFill="1" applyBorder="1" applyAlignment="1" applyProtection="1">
      <alignment horizontal="right" vertical="top"/>
      <protection locked="0"/>
    </xf>
    <xf numFmtId="3" fontId="6" fillId="0" borderId="3" xfId="0" applyNumberFormat="1" applyFont="1" applyFill="1" applyBorder="1" applyAlignment="1" applyProtection="1">
      <alignment horizontal="right" vertical="top"/>
      <protection locked="0"/>
    </xf>
    <xf numFmtId="3" fontId="6" fillId="0" borderId="15" xfId="0" applyNumberFormat="1" applyFont="1" applyFill="1" applyBorder="1" applyAlignment="1" applyProtection="1">
      <alignment horizontal="right" vertical="top"/>
      <protection locked="0"/>
    </xf>
    <xf numFmtId="0" fontId="6" fillId="2" borderId="15" xfId="0" applyFont="1" applyFill="1" applyBorder="1" applyAlignment="1">
      <alignment horizontal="center"/>
    </xf>
    <xf numFmtId="0" fontId="6" fillId="2" borderId="6" xfId="0" applyFont="1" applyFill="1" applyBorder="1" applyAlignment="1">
      <alignment horizontal="center" wrapText="1"/>
    </xf>
    <xf numFmtId="0" fontId="6" fillId="0" borderId="0" xfId="0" applyFont="1" applyFill="1" applyBorder="1" applyAlignment="1">
      <alignment horizontal="center" wrapText="1"/>
    </xf>
    <xf numFmtId="0" fontId="6" fillId="2" borderId="5" xfId="0" applyFont="1" applyFill="1" applyBorder="1" applyAlignment="1">
      <alignment horizontal="center"/>
    </xf>
    <xf numFmtId="0" fontId="6" fillId="2" borderId="13" xfId="0" applyFont="1" applyFill="1" applyBorder="1" applyAlignment="1">
      <alignment horizontal="center" wrapText="1"/>
    </xf>
    <xf numFmtId="3" fontId="4" fillId="0" borderId="14"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4" fillId="3" borderId="10" xfId="0" applyFont="1" applyFill="1" applyBorder="1" applyAlignment="1">
      <alignment horizontal="left" wrapText="1"/>
    </xf>
    <xf numFmtId="0" fontId="4" fillId="3" borderId="3" xfId="0" applyFont="1" applyFill="1" applyBorder="1" applyAlignment="1">
      <alignment horizontal="left" wrapText="1"/>
    </xf>
    <xf numFmtId="0" fontId="4" fillId="3" borderId="15" xfId="0" applyFont="1" applyFill="1" applyBorder="1" applyAlignment="1">
      <alignment horizontal="left" wrapText="1"/>
    </xf>
    <xf numFmtId="4" fontId="4" fillId="0" borderId="2" xfId="0" applyNumberFormat="1" applyFont="1" applyFill="1" applyBorder="1" applyAlignment="1" applyProtection="1">
      <alignment horizontal="right" vertical="top"/>
      <protection locked="0"/>
    </xf>
    <xf numFmtId="3" fontId="6" fillId="3" borderId="4" xfId="0" applyNumberFormat="1" applyFont="1" applyFill="1" applyBorder="1" applyAlignment="1">
      <alignment horizontal="center"/>
    </xf>
    <xf numFmtId="3" fontId="6" fillId="3" borderId="5" xfId="0" applyNumberFormat="1" applyFont="1" applyFill="1" applyBorder="1" applyAlignment="1">
      <alignment horizontal="center"/>
    </xf>
    <xf numFmtId="3" fontId="6" fillId="3" borderId="6" xfId="0" applyNumberFormat="1" applyFont="1" applyFill="1" applyBorder="1" applyAlignment="1">
      <alignment horizontal="center"/>
    </xf>
    <xf numFmtId="4" fontId="4" fillId="0" borderId="3" xfId="0" applyNumberFormat="1" applyFont="1" applyFill="1" applyBorder="1" applyAlignment="1" applyProtection="1">
      <alignment horizontal="right" vertical="top"/>
      <protection locked="0"/>
    </xf>
    <xf numFmtId="0" fontId="6" fillId="2" borderId="4" xfId="0" applyFont="1" applyFill="1" applyBorder="1" applyAlignment="1">
      <alignment horizontal="center"/>
    </xf>
    <xf numFmtId="0" fontId="6" fillId="2" borderId="6" xfId="0" applyFont="1" applyFill="1" applyBorder="1" applyAlignment="1">
      <alignment horizontal="center"/>
    </xf>
    <xf numFmtId="3" fontId="4" fillId="0" borderId="4" xfId="0" applyNumberFormat="1" applyFont="1" applyFill="1" applyBorder="1" applyAlignment="1" applyProtection="1">
      <alignment horizontal="right"/>
      <protection/>
    </xf>
    <xf numFmtId="3" fontId="4" fillId="0" borderId="6" xfId="0" applyNumberFormat="1" applyFont="1" applyFill="1" applyBorder="1" applyAlignment="1" applyProtection="1">
      <alignment horizontal="right"/>
      <protection/>
    </xf>
    <xf numFmtId="49" fontId="4" fillId="0" borderId="4" xfId="0" applyNumberFormat="1" applyFont="1" applyFill="1" applyBorder="1" applyAlignment="1">
      <alignment horizontal="left"/>
    </xf>
    <xf numFmtId="49" fontId="4" fillId="0" borderId="6" xfId="0" applyNumberFormat="1" applyFont="1" applyFill="1" applyBorder="1" applyAlignment="1">
      <alignment horizontal="left"/>
    </xf>
    <xf numFmtId="4" fontId="4" fillId="0" borderId="4" xfId="0" applyNumberFormat="1" applyFont="1" applyFill="1" applyBorder="1" applyAlignment="1">
      <alignment horizontal="right"/>
    </xf>
    <xf numFmtId="4" fontId="4" fillId="0" borderId="6" xfId="0" applyNumberFormat="1" applyFont="1" applyFill="1" applyBorder="1" applyAlignment="1">
      <alignment horizontal="right"/>
    </xf>
    <xf numFmtId="49" fontId="4" fillId="0" borderId="5" xfId="0" applyNumberFormat="1" applyFont="1" applyFill="1" applyBorder="1" applyAlignment="1">
      <alignment horizontal="left"/>
    </xf>
    <xf numFmtId="178" fontId="4" fillId="0" borderId="4" xfId="0" applyNumberFormat="1" applyFont="1" applyFill="1" applyBorder="1" applyAlignment="1">
      <alignment horizontal="center"/>
    </xf>
    <xf numFmtId="178" fontId="4" fillId="0" borderId="6" xfId="0" applyNumberFormat="1" applyFont="1" applyFill="1" applyBorder="1" applyAlignment="1">
      <alignment horizontal="center"/>
    </xf>
    <xf numFmtId="4" fontId="4" fillId="0" borderId="4" xfId="0" applyNumberFormat="1" applyFont="1" applyFill="1" applyBorder="1" applyAlignment="1">
      <alignment horizontal="right" wrapText="1"/>
    </xf>
    <xf numFmtId="4" fontId="4" fillId="0" borderId="6" xfId="0" applyNumberFormat="1" applyFont="1" applyFill="1" applyBorder="1" applyAlignment="1">
      <alignment horizontal="right" wrapText="1"/>
    </xf>
    <xf numFmtId="3" fontId="4" fillId="0" borderId="4" xfId="0" applyNumberFormat="1" applyFont="1" applyFill="1" applyBorder="1" applyAlignment="1" applyProtection="1">
      <alignment horizontal="right" wrapText="1"/>
      <protection/>
    </xf>
    <xf numFmtId="3" fontId="4" fillId="0" borderId="6" xfId="0" applyNumberFormat="1" applyFont="1" applyFill="1" applyBorder="1" applyAlignment="1" applyProtection="1">
      <alignment horizontal="right" wrapText="1"/>
      <protection/>
    </xf>
    <xf numFmtId="49" fontId="4" fillId="2" borderId="4"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19" xfId="0" applyFont="1" applyFill="1" applyBorder="1" applyAlignment="1">
      <alignment horizontal="center" wrapText="1"/>
    </xf>
    <xf numFmtId="0" fontId="4" fillId="2" borderId="4"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6" fillId="2" borderId="24" xfId="0" applyFont="1" applyFill="1" applyBorder="1" applyAlignment="1">
      <alignment horizontal="center" wrapText="1"/>
    </xf>
    <xf numFmtId="0" fontId="6" fillId="2" borderId="24" xfId="0" applyFont="1" applyFill="1" applyBorder="1" applyAlignment="1">
      <alignment horizontal="center"/>
    </xf>
    <xf numFmtId="0" fontId="6" fillId="2" borderId="19" xfId="0" applyFont="1" applyFill="1" applyBorder="1" applyAlignment="1">
      <alignment horizontal="center"/>
    </xf>
    <xf numFmtId="0" fontId="6" fillId="2" borderId="25" xfId="0" applyFont="1" applyFill="1" applyBorder="1" applyAlignment="1">
      <alignment horizontal="center" wrapText="1"/>
    </xf>
    <xf numFmtId="0" fontId="6" fillId="2" borderId="22" xfId="0" applyFont="1" applyFill="1" applyBorder="1" applyAlignment="1">
      <alignment horizontal="center" wrapText="1"/>
    </xf>
    <xf numFmtId="0" fontId="6" fillId="3" borderId="4" xfId="0" applyFont="1" applyFill="1" applyBorder="1" applyAlignment="1">
      <alignment horizontal="center"/>
    </xf>
    <xf numFmtId="0" fontId="6" fillId="3" borderId="6" xfId="0" applyFont="1" applyFill="1" applyBorder="1" applyAlignment="1">
      <alignment horizontal="center"/>
    </xf>
    <xf numFmtId="49" fontId="4" fillId="2" borderId="5" xfId="0" applyNumberFormat="1" applyFont="1" applyFill="1" applyBorder="1" applyAlignment="1">
      <alignment horizontal="center" wrapText="1"/>
    </xf>
    <xf numFmtId="0" fontId="4" fillId="3" borderId="2" xfId="0" applyFont="1" applyFill="1" applyBorder="1" applyAlignment="1">
      <alignment horizontal="center"/>
    </xf>
    <xf numFmtId="0" fontId="6" fillId="2" borderId="23" xfId="0" applyFont="1" applyFill="1" applyBorder="1" applyAlignment="1">
      <alignment horizontal="center" wrapText="1"/>
    </xf>
    <xf numFmtId="49" fontId="4" fillId="3" borderId="4" xfId="0" applyNumberFormat="1" applyFont="1" applyFill="1" applyBorder="1" applyAlignment="1">
      <alignment horizontal="center" wrapText="1"/>
    </xf>
    <xf numFmtId="49" fontId="4" fillId="3" borderId="6" xfId="0" applyNumberFormat="1" applyFont="1" applyFill="1" applyBorder="1" applyAlignment="1">
      <alignment horizontal="center" wrapText="1"/>
    </xf>
    <xf numFmtId="0" fontId="4" fillId="3" borderId="13" xfId="0" applyFont="1" applyFill="1" applyBorder="1" applyAlignment="1">
      <alignment horizontal="center"/>
    </xf>
    <xf numFmtId="0" fontId="6" fillId="3" borderId="2"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14" fontId="6" fillId="3" borderId="2" xfId="0" applyNumberFormat="1" applyFont="1" applyFill="1" applyBorder="1" applyAlignment="1">
      <alignment horizontal="center"/>
    </xf>
    <xf numFmtId="0" fontId="6" fillId="3" borderId="5" xfId="0" applyFont="1" applyFill="1" applyBorder="1" applyAlignment="1">
      <alignment horizontal="center"/>
    </xf>
    <xf numFmtId="0" fontId="1" fillId="2" borderId="6" xfId="0" applyFont="1" applyFill="1" applyBorder="1" applyAlignment="1">
      <alignment/>
    </xf>
    <xf numFmtId="170" fontId="4" fillId="0" borderId="4" xfId="0" applyNumberFormat="1" applyFont="1" applyFill="1" applyBorder="1" applyAlignment="1" applyProtection="1">
      <alignment horizontal="left"/>
      <protection locked="0"/>
    </xf>
    <xf numFmtId="170" fontId="4" fillId="0" borderId="6" xfId="0" applyNumberFormat="1" applyFont="1" applyFill="1" applyBorder="1" applyAlignment="1" applyProtection="1">
      <alignment horizontal="left"/>
      <protection locked="0"/>
    </xf>
    <xf numFmtId="0" fontId="15" fillId="7" borderId="0" xfId="0" applyFont="1" applyFill="1" applyBorder="1" applyAlignment="1" applyProtection="1">
      <alignment horizontal="left" vertical="center" wrapText="1"/>
      <protection locked="0"/>
    </xf>
    <xf numFmtId="0" fontId="15" fillId="7" borderId="11" xfId="0" applyFont="1" applyFill="1" applyBorder="1" applyAlignment="1" applyProtection="1">
      <alignment horizontal="left" vertical="center" wrapText="1"/>
      <protection locked="0"/>
    </xf>
    <xf numFmtId="0" fontId="6" fillId="2" borderId="5" xfId="0" applyFont="1" applyFill="1" applyBorder="1" applyAlignment="1">
      <alignment horizontal="right"/>
    </xf>
    <xf numFmtId="0" fontId="6" fillId="2" borderId="6" xfId="0" applyFont="1" applyFill="1" applyBorder="1" applyAlignment="1">
      <alignment horizontal="right"/>
    </xf>
    <xf numFmtId="0" fontId="4" fillId="3" borderId="14" xfId="0" applyNumberFormat="1" applyFont="1" applyFill="1" applyBorder="1" applyAlignment="1">
      <alignment horizontal="left" wrapText="1"/>
    </xf>
    <xf numFmtId="0" fontId="4" fillId="3" borderId="0" xfId="0" applyNumberFormat="1" applyFont="1" applyFill="1" applyBorder="1" applyAlignment="1">
      <alignment horizontal="left" wrapText="1"/>
    </xf>
    <xf numFmtId="0" fontId="4" fillId="3" borderId="11" xfId="0" applyNumberFormat="1" applyFont="1" applyFill="1" applyBorder="1" applyAlignment="1">
      <alignment horizontal="left" wrapText="1"/>
    </xf>
    <xf numFmtId="0" fontId="4" fillId="3" borderId="9" xfId="0" applyNumberFormat="1" applyFont="1" applyFill="1" applyBorder="1" applyAlignment="1">
      <alignment horizontal="left" wrapText="1"/>
    </xf>
    <xf numFmtId="0" fontId="4" fillId="3" borderId="2" xfId="0" applyNumberFormat="1" applyFont="1" applyFill="1" applyBorder="1" applyAlignment="1">
      <alignment horizontal="left" wrapText="1"/>
    </xf>
    <xf numFmtId="0" fontId="4" fillId="3" borderId="13" xfId="0" applyNumberFormat="1" applyFont="1" applyFill="1" applyBorder="1" applyAlignment="1">
      <alignment horizontal="left" wrapText="1"/>
    </xf>
    <xf numFmtId="0" fontId="4" fillId="3" borderId="10" xfId="0" applyNumberFormat="1" applyFont="1" applyFill="1" applyBorder="1" applyAlignment="1">
      <alignment horizontal="left" wrapText="1"/>
    </xf>
    <xf numFmtId="0" fontId="4" fillId="3" borderId="3" xfId="0" applyNumberFormat="1" applyFont="1" applyFill="1" applyBorder="1" applyAlignment="1">
      <alignment horizontal="left" wrapText="1"/>
    </xf>
    <xf numFmtId="0" fontId="4" fillId="3" borderId="15" xfId="0" applyNumberFormat="1" applyFont="1" applyFill="1" applyBorder="1" applyAlignment="1">
      <alignment horizontal="left" wrapText="1"/>
    </xf>
    <xf numFmtId="170" fontId="6" fillId="2" borderId="4" xfId="0" applyNumberFormat="1" applyFont="1" applyFill="1" applyBorder="1" applyAlignment="1">
      <alignment horizontal="center" wrapText="1"/>
    </xf>
    <xf numFmtId="170" fontId="6" fillId="2" borderId="6" xfId="0" applyNumberFormat="1" applyFont="1" applyFill="1" applyBorder="1" applyAlignment="1">
      <alignment horizontal="center" wrapText="1"/>
    </xf>
    <xf numFmtId="3" fontId="4" fillId="0" borderId="9" xfId="0" applyNumberFormat="1" applyFont="1" applyFill="1" applyBorder="1" applyAlignment="1" applyProtection="1">
      <alignment horizontal="right" wrapText="1"/>
      <protection locked="0"/>
    </xf>
    <xf numFmtId="3" fontId="4" fillId="0" borderId="13"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9" fontId="4"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3" fontId="4" fillId="0" borderId="14" xfId="0" applyNumberFormat="1" applyFont="1" applyFill="1" applyBorder="1" applyAlignment="1" applyProtection="1">
      <alignment horizontal="right" wrapText="1"/>
      <protection locked="0"/>
    </xf>
    <xf numFmtId="3" fontId="4" fillId="0" borderId="11" xfId="0" applyNumberFormat="1" applyFont="1" applyFill="1" applyBorder="1" applyAlignment="1" applyProtection="1">
      <alignment horizontal="right" wrapText="1"/>
      <protection locked="0"/>
    </xf>
    <xf numFmtId="3" fontId="4" fillId="0" borderId="14" xfId="0" applyNumberFormat="1" applyFont="1" applyBorder="1" applyAlignment="1" applyProtection="1">
      <alignment horizontal="right" wrapText="1"/>
      <protection locked="0"/>
    </xf>
    <xf numFmtId="3" fontId="4" fillId="0" borderId="11" xfId="0" applyNumberFormat="1" applyFont="1" applyBorder="1" applyAlignment="1" applyProtection="1">
      <alignment horizontal="right" wrapText="1"/>
      <protection locked="0"/>
    </xf>
    <xf numFmtId="49" fontId="4" fillId="0" borderId="10"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0" fontId="10" fillId="3" borderId="9" xfId="0" applyFont="1" applyFill="1" applyBorder="1" applyAlignment="1">
      <alignment wrapText="1"/>
    </xf>
    <xf numFmtId="0" fontId="1" fillId="3" borderId="2" xfId="0" applyFont="1" applyFill="1" applyBorder="1" applyAlignment="1">
      <alignment wrapText="1"/>
    </xf>
    <xf numFmtId="0" fontId="1" fillId="3" borderId="13" xfId="0" applyFont="1" applyFill="1" applyBorder="1" applyAlignment="1">
      <alignment wrapText="1"/>
    </xf>
    <xf numFmtId="0" fontId="1" fillId="3" borderId="14" xfId="0" applyFont="1" applyFill="1" applyBorder="1" applyAlignment="1">
      <alignment wrapText="1"/>
    </xf>
    <xf numFmtId="0" fontId="1" fillId="3" borderId="0" xfId="0" applyFont="1" applyFill="1" applyBorder="1" applyAlignment="1">
      <alignment wrapText="1"/>
    </xf>
    <xf numFmtId="0" fontId="1" fillId="3" borderId="11" xfId="0" applyFont="1" applyFill="1" applyBorder="1" applyAlignment="1">
      <alignment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3" xfId="0" applyFont="1" applyFill="1" applyBorder="1" applyAlignment="1">
      <alignment horizontal="center"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49" fontId="10" fillId="0" borderId="4" xfId="0" applyNumberFormat="1" applyFont="1" applyFill="1" applyBorder="1" applyAlignment="1">
      <alignment horizontal="center" wrapText="1"/>
    </xf>
    <xf numFmtId="49" fontId="10" fillId="0" borderId="5" xfId="0" applyNumberFormat="1" applyFont="1" applyFill="1" applyBorder="1" applyAlignment="1">
      <alignment horizontal="center" wrapText="1"/>
    </xf>
    <xf numFmtId="49" fontId="10" fillId="0" borderId="6" xfId="0" applyNumberFormat="1" applyFont="1" applyFill="1" applyBorder="1" applyAlignment="1">
      <alignment horizontal="center" wrapText="1"/>
    </xf>
    <xf numFmtId="0" fontId="10" fillId="3" borderId="14" xfId="0" applyFont="1" applyFill="1" applyBorder="1" applyAlignment="1">
      <alignment wrapText="1"/>
    </xf>
    <xf numFmtId="0" fontId="1" fillId="3" borderId="10" xfId="0" applyFont="1" applyFill="1" applyBorder="1" applyAlignment="1">
      <alignment wrapText="1"/>
    </xf>
    <xf numFmtId="0" fontId="1" fillId="3" borderId="3" xfId="0" applyFont="1" applyFill="1" applyBorder="1" applyAlignment="1">
      <alignment wrapText="1"/>
    </xf>
    <xf numFmtId="0" fontId="1" fillId="3" borderId="15" xfId="0" applyFont="1" applyFill="1" applyBorder="1" applyAlignment="1">
      <alignment wrapText="1"/>
    </xf>
    <xf numFmtId="0" fontId="11" fillId="2" borderId="8" xfId="0" applyFont="1" applyFill="1" applyBorder="1" applyAlignment="1">
      <alignment horizontal="center"/>
    </xf>
    <xf numFmtId="49" fontId="10" fillId="2" borderId="4"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0" borderId="1" xfId="0" applyNumberFormat="1" applyFont="1" applyFill="1" applyBorder="1" applyAlignment="1">
      <alignment horizontal="center" wrapText="1"/>
    </xf>
    <xf numFmtId="0" fontId="10" fillId="0" borderId="26"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27" xfId="0" applyNumberFormat="1" applyFont="1" applyFill="1" applyBorder="1" applyAlignment="1">
      <alignment horizontal="left" vertical="top"/>
    </xf>
    <xf numFmtId="0" fontId="10" fillId="0" borderId="28" xfId="0" applyNumberFormat="1" applyFont="1" applyFill="1" applyBorder="1" applyAlignment="1">
      <alignment horizontal="left" vertical="top"/>
    </xf>
    <xf numFmtId="0" fontId="10" fillId="0" borderId="29" xfId="0" applyNumberFormat="1" applyFont="1" applyFill="1" applyBorder="1" applyAlignment="1">
      <alignment horizontal="left" vertical="top"/>
    </xf>
    <xf numFmtId="0" fontId="10" fillId="0" borderId="30" xfId="0" applyNumberFormat="1" applyFont="1" applyFill="1" applyBorder="1" applyAlignment="1">
      <alignment horizontal="left" vertical="top"/>
    </xf>
    <xf numFmtId="0" fontId="10" fillId="3" borderId="14" xfId="0" applyFont="1" applyFill="1" applyBorder="1" applyAlignment="1">
      <alignment horizontal="left" wrapText="1"/>
    </xf>
    <xf numFmtId="0" fontId="10" fillId="3" borderId="0" xfId="0" applyFont="1" applyFill="1" applyBorder="1" applyAlignment="1">
      <alignment horizontal="left" wrapText="1"/>
    </xf>
    <xf numFmtId="0" fontId="10" fillId="3" borderId="11" xfId="0" applyFont="1" applyFill="1" applyBorder="1" applyAlignment="1">
      <alignment horizontal="left" wrapText="1"/>
    </xf>
    <xf numFmtId="49" fontId="10" fillId="0" borderId="4" xfId="0" applyNumberFormat="1" applyFont="1" applyFill="1" applyBorder="1" applyAlignment="1">
      <alignment horizontal="left" vertical="top"/>
    </xf>
    <xf numFmtId="49" fontId="10" fillId="0" borderId="5" xfId="0" applyNumberFormat="1" applyFont="1" applyFill="1" applyBorder="1" applyAlignment="1">
      <alignment horizontal="left" vertical="top"/>
    </xf>
    <xf numFmtId="49" fontId="10" fillId="0" borderId="6" xfId="0" applyNumberFormat="1" applyFont="1" applyFill="1" applyBorder="1" applyAlignment="1">
      <alignment horizontal="left" vertical="top"/>
    </xf>
    <xf numFmtId="0" fontId="4" fillId="3" borderId="9" xfId="0" applyNumberFormat="1" applyFont="1" applyFill="1" applyBorder="1" applyAlignment="1">
      <alignment horizontal="left"/>
    </xf>
    <xf numFmtId="0" fontId="4" fillId="3" borderId="2" xfId="0" applyNumberFormat="1" applyFont="1" applyFill="1" applyBorder="1" applyAlignment="1">
      <alignment horizontal="left"/>
    </xf>
    <xf numFmtId="0" fontId="4" fillId="3" borderId="13" xfId="0" applyNumberFormat="1" applyFont="1" applyFill="1" applyBorder="1" applyAlignment="1">
      <alignment horizontal="left"/>
    </xf>
    <xf numFmtId="0" fontId="4" fillId="3" borderId="14" xfId="0" applyNumberFormat="1" applyFont="1" applyFill="1" applyBorder="1" applyAlignment="1">
      <alignment horizontal="left"/>
    </xf>
    <xf numFmtId="0" fontId="4" fillId="3" borderId="0" xfId="0" applyNumberFormat="1" applyFont="1" applyFill="1" applyBorder="1" applyAlignment="1">
      <alignment horizontal="left"/>
    </xf>
    <xf numFmtId="0" fontId="4" fillId="3" borderId="11" xfId="0" applyNumberFormat="1" applyFont="1" applyFill="1" applyBorder="1" applyAlignment="1">
      <alignment horizontal="left"/>
    </xf>
    <xf numFmtId="0" fontId="11" fillId="2" borderId="15" xfId="0" applyFont="1" applyFill="1" applyBorder="1" applyAlignment="1">
      <alignment horizontal="center" wrapText="1"/>
    </xf>
    <xf numFmtId="0" fontId="4" fillId="3" borderId="10" xfId="0" applyNumberFormat="1" applyFont="1" applyFill="1" applyBorder="1" applyAlignment="1">
      <alignment horizontal="left"/>
    </xf>
    <xf numFmtId="0" fontId="4" fillId="3" borderId="3" xfId="0" applyNumberFormat="1" applyFont="1" applyFill="1" applyBorder="1" applyAlignment="1">
      <alignment horizontal="left"/>
    </xf>
    <xf numFmtId="0" fontId="4" fillId="3" borderId="15" xfId="0" applyNumberFormat="1" applyFont="1" applyFill="1" applyBorder="1" applyAlignment="1">
      <alignment horizontal="left"/>
    </xf>
    <xf numFmtId="4" fontId="4" fillId="0" borderId="4"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4" fillId="0" borderId="4" xfId="0" applyNumberFormat="1" applyFont="1" applyFill="1" applyBorder="1" applyAlignment="1">
      <alignment horizontal="right"/>
    </xf>
    <xf numFmtId="3" fontId="4" fillId="0" borderId="5" xfId="0" applyNumberFormat="1" applyFont="1" applyFill="1" applyBorder="1" applyAlignment="1">
      <alignment horizontal="right"/>
    </xf>
    <xf numFmtId="3" fontId="4" fillId="0" borderId="6" xfId="0" applyNumberFormat="1" applyFont="1" applyFill="1" applyBorder="1" applyAlignment="1">
      <alignment horizontal="right"/>
    </xf>
    <xf numFmtId="49"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4"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3" fontId="4" fillId="0" borderId="14"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4" fontId="6" fillId="0" borderId="4" xfId="0" applyNumberFormat="1" applyFont="1" applyFill="1" applyBorder="1" applyAlignment="1">
      <alignment horizontal="right"/>
    </xf>
    <xf numFmtId="4" fontId="6" fillId="0" borderId="5" xfId="0" applyNumberFormat="1" applyFont="1" applyFill="1" applyBorder="1" applyAlignment="1">
      <alignment horizontal="right"/>
    </xf>
    <xf numFmtId="4" fontId="6" fillId="0" borderId="6" xfId="0" applyNumberFormat="1" applyFont="1" applyFill="1" applyBorder="1" applyAlignment="1">
      <alignment horizontal="right"/>
    </xf>
    <xf numFmtId="3" fontId="6" fillId="0" borderId="4" xfId="0" applyNumberFormat="1" applyFont="1" applyFill="1" applyBorder="1" applyAlignment="1">
      <alignment horizontal="right"/>
    </xf>
    <xf numFmtId="3" fontId="6" fillId="0" borderId="5" xfId="0" applyNumberFormat="1" applyFont="1" applyFill="1" applyBorder="1" applyAlignment="1">
      <alignment horizontal="right"/>
    </xf>
    <xf numFmtId="3" fontId="6" fillId="0" borderId="6" xfId="0" applyNumberFormat="1" applyFont="1" applyFill="1" applyBorder="1" applyAlignment="1">
      <alignment horizontal="right"/>
    </xf>
    <xf numFmtId="3" fontId="4" fillId="0" borderId="14"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protection locked="0"/>
    </xf>
    <xf numFmtId="3" fontId="4" fillId="0" borderId="2" xfId="0" applyNumberFormat="1" applyFont="1" applyFill="1" applyBorder="1" applyAlignment="1" applyProtection="1">
      <alignment horizontal="right"/>
      <protection locked="0"/>
    </xf>
    <xf numFmtId="3" fontId="4" fillId="0" borderId="13" xfId="0" applyNumberFormat="1" applyFont="1" applyFill="1" applyBorder="1" applyAlignment="1" applyProtection="1">
      <alignment horizontal="right"/>
      <protection locked="0"/>
    </xf>
    <xf numFmtId="0" fontId="6" fillId="2" borderId="1" xfId="0" applyFont="1" applyFill="1" applyBorder="1" applyAlignment="1">
      <alignment horizontal="center" wrapText="1"/>
    </xf>
    <xf numFmtId="3" fontId="4" fillId="0" borderId="9" xfId="0" applyNumberFormat="1" applyFont="1" applyFill="1" applyBorder="1" applyAlignment="1" applyProtection="1">
      <alignment horizontal="right"/>
      <protection locked="0"/>
    </xf>
    <xf numFmtId="3" fontId="4" fillId="0" borderId="2" xfId="0" applyNumberFormat="1" applyFont="1" applyFill="1" applyBorder="1" applyAlignment="1" applyProtection="1">
      <alignment horizontal="right"/>
      <protection locked="0"/>
    </xf>
    <xf numFmtId="3" fontId="4" fillId="0" borderId="13" xfId="0" applyNumberFormat="1" applyFont="1" applyFill="1" applyBorder="1" applyAlignment="1" applyProtection="1">
      <alignment horizontal="right"/>
      <protection locked="0"/>
    </xf>
    <xf numFmtId="3" fontId="4" fillId="0" borderId="14"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49" fontId="6" fillId="3" borderId="4" xfId="0" applyNumberFormat="1" applyFont="1" applyFill="1" applyBorder="1" applyAlignment="1">
      <alignment horizontal="center" wrapText="1"/>
    </xf>
    <xf numFmtId="49" fontId="6" fillId="3" borderId="6" xfId="0" applyNumberFormat="1" applyFont="1" applyFill="1" applyBorder="1" applyAlignment="1">
      <alignment horizontal="center" wrapText="1"/>
    </xf>
    <xf numFmtId="0" fontId="6" fillId="2" borderId="3" xfId="0" applyNumberFormat="1" applyFont="1" applyFill="1" applyBorder="1" applyAlignment="1">
      <alignment horizontal="center"/>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3" fontId="6" fillId="0" borderId="4" xfId="0" applyNumberFormat="1" applyFont="1" applyFill="1" applyBorder="1" applyAlignment="1" applyProtection="1">
      <alignment horizontal="right"/>
      <protection locked="0"/>
    </xf>
    <xf numFmtId="3" fontId="6" fillId="0" borderId="5"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0" fontId="6" fillId="2" borderId="14" xfId="0" applyFont="1" applyFill="1" applyBorder="1" applyAlignment="1">
      <alignment horizontal="center" wrapText="1"/>
    </xf>
    <xf numFmtId="0" fontId="6" fillId="2" borderId="10" xfId="0" applyFont="1" applyFill="1" applyBorder="1" applyAlignment="1">
      <alignment horizontal="center" wrapText="1"/>
    </xf>
    <xf numFmtId="49" fontId="4" fillId="0" borderId="4" xfId="0" applyNumberFormat="1" applyFont="1" applyFill="1" applyBorder="1" applyAlignment="1">
      <alignment horizontal="left" vertical="center"/>
    </xf>
    <xf numFmtId="3" fontId="4" fillId="0" borderId="10" xfId="0" applyNumberFormat="1" applyFont="1" applyFill="1" applyBorder="1" applyAlignment="1" applyProtection="1">
      <alignment horizontal="right"/>
      <protection locked="0"/>
    </xf>
    <xf numFmtId="3" fontId="4" fillId="0" borderId="3"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3" fontId="6" fillId="0" borderId="4" xfId="0" applyNumberFormat="1" applyFont="1" applyFill="1" applyBorder="1" applyAlignment="1" applyProtection="1">
      <alignment horizontal="center"/>
      <protection locked="0"/>
    </xf>
    <xf numFmtId="3" fontId="6" fillId="0" borderId="5" xfId="0" applyNumberFormat="1" applyFont="1" applyFill="1" applyBorder="1" applyAlignment="1" applyProtection="1">
      <alignment horizontal="center"/>
      <protection locked="0"/>
    </xf>
    <xf numFmtId="3" fontId="6" fillId="0" borderId="6" xfId="0" applyNumberFormat="1" applyFont="1" applyFill="1" applyBorder="1" applyAlignment="1" applyProtection="1">
      <alignment horizontal="center"/>
      <protection locked="0"/>
    </xf>
    <xf numFmtId="0" fontId="6" fillId="2" borderId="9" xfId="0" applyFont="1" applyFill="1" applyBorder="1" applyAlignment="1">
      <alignment horizontal="left"/>
    </xf>
    <xf numFmtId="0" fontId="6" fillId="2" borderId="2" xfId="0" applyFont="1" applyFill="1" applyBorder="1" applyAlignment="1">
      <alignment horizontal="left"/>
    </xf>
    <xf numFmtId="0" fontId="6" fillId="2" borderId="13" xfId="0" applyFont="1" applyFill="1" applyBorder="1" applyAlignment="1">
      <alignment horizontal="left"/>
    </xf>
    <xf numFmtId="0" fontId="6" fillId="2" borderId="10" xfId="0" applyFont="1" applyFill="1" applyBorder="1" applyAlignment="1">
      <alignment horizontal="left"/>
    </xf>
    <xf numFmtId="0" fontId="6" fillId="2" borderId="3" xfId="0" applyFont="1" applyFill="1" applyBorder="1" applyAlignment="1">
      <alignment horizontal="left"/>
    </xf>
    <xf numFmtId="0" fontId="6" fillId="2" borderId="15" xfId="0" applyFont="1" applyFill="1" applyBorder="1" applyAlignment="1">
      <alignment horizontal="left"/>
    </xf>
    <xf numFmtId="3" fontId="4" fillId="0" borderId="9" xfId="0" applyNumberFormat="1" applyFont="1" applyFill="1" applyBorder="1" applyAlignment="1" applyProtection="1">
      <alignment horizontal="right" vertical="center"/>
      <protection locked="0"/>
    </xf>
    <xf numFmtId="3" fontId="4" fillId="0" borderId="2" xfId="0" applyNumberFormat="1" applyFont="1" applyFill="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locked="0"/>
    </xf>
    <xf numFmtId="3" fontId="4" fillId="0" borderId="11" xfId="0" applyNumberFormat="1" applyFont="1" applyFill="1" applyBorder="1" applyAlignment="1" applyProtection="1">
      <alignment horizontal="right" vertical="center"/>
      <protection locked="0"/>
    </xf>
    <xf numFmtId="4" fontId="6" fillId="0" borderId="4" xfId="0" applyNumberFormat="1" applyFont="1" applyFill="1" applyBorder="1" applyAlignment="1" applyProtection="1">
      <alignment horizontal="right"/>
      <protection locked="0"/>
    </xf>
    <xf numFmtId="4" fontId="6" fillId="0" borderId="5" xfId="0" applyNumberFormat="1" applyFont="1" applyFill="1" applyBorder="1" applyAlignment="1" applyProtection="1">
      <alignment horizontal="right"/>
      <protection locked="0"/>
    </xf>
    <xf numFmtId="4" fontId="6" fillId="0" borderId="6" xfId="0" applyNumberFormat="1" applyFont="1" applyFill="1" applyBorder="1" applyAlignment="1" applyProtection="1">
      <alignment horizontal="right"/>
      <protection locked="0"/>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3" fontId="6" fillId="0" borderId="4" xfId="0" applyNumberFormat="1" applyFont="1" applyFill="1" applyBorder="1" applyAlignment="1" applyProtection="1">
      <alignment horizontal="right"/>
      <protection locked="0"/>
    </xf>
    <xf numFmtId="3" fontId="6" fillId="0" borderId="5" xfId="0" applyNumberFormat="1" applyFont="1" applyFill="1" applyBorder="1" applyAlignment="1" applyProtection="1">
      <alignment horizontal="right"/>
      <protection locked="0"/>
    </xf>
    <xf numFmtId="3" fontId="6" fillId="0" borderId="6" xfId="0" applyNumberFormat="1" applyFont="1" applyFill="1" applyBorder="1" applyAlignment="1" applyProtection="1">
      <alignment horizontal="right"/>
      <protection locked="0"/>
    </xf>
    <xf numFmtId="3" fontId="4" fillId="0" borderId="10" xfId="0" applyNumberFormat="1" applyFont="1" applyFill="1" applyBorder="1" applyAlignment="1" applyProtection="1">
      <alignment horizontal="right" vertical="justify"/>
      <protection locked="0"/>
    </xf>
    <xf numFmtId="3" fontId="4" fillId="0" borderId="3" xfId="0" applyNumberFormat="1" applyFont="1" applyFill="1" applyBorder="1" applyAlignment="1" applyProtection="1">
      <alignment horizontal="right" vertical="justify"/>
      <protection locked="0"/>
    </xf>
    <xf numFmtId="3" fontId="4" fillId="0" borderId="15" xfId="0" applyNumberFormat="1" applyFont="1" applyFill="1" applyBorder="1" applyAlignment="1" applyProtection="1">
      <alignment horizontal="right" vertical="justify"/>
      <protection locked="0"/>
    </xf>
    <xf numFmtId="3" fontId="4" fillId="0" borderId="3"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3" fontId="4" fillId="0" borderId="9" xfId="0" applyNumberFormat="1" applyFont="1" applyFill="1" applyBorder="1" applyAlignment="1" applyProtection="1">
      <alignment horizontal="right" vertical="justify"/>
      <protection locked="0"/>
    </xf>
    <xf numFmtId="3" fontId="4" fillId="0" borderId="2" xfId="0" applyNumberFormat="1" applyFont="1" applyFill="1" applyBorder="1" applyAlignment="1" applyProtection="1">
      <alignment horizontal="right" vertical="justify"/>
      <protection locked="0"/>
    </xf>
    <xf numFmtId="3" fontId="4" fillId="0" borderId="13" xfId="0" applyNumberFormat="1" applyFont="1" applyFill="1" applyBorder="1" applyAlignment="1" applyProtection="1">
      <alignment horizontal="right" vertical="justify"/>
      <protection locked="0"/>
    </xf>
    <xf numFmtId="3" fontId="4" fillId="0" borderId="10" xfId="0" applyNumberFormat="1" applyFont="1" applyFill="1" applyBorder="1" applyAlignment="1" applyProtection="1">
      <alignment horizontal="right"/>
      <protection locked="0"/>
    </xf>
    <xf numFmtId="3" fontId="4" fillId="0" borderId="9"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2" xfId="0" applyNumberFormat="1" applyFont="1" applyFill="1" applyBorder="1" applyAlignment="1">
      <alignment horizontal="right"/>
    </xf>
    <xf numFmtId="3" fontId="4" fillId="0" borderId="13" xfId="0" applyNumberFormat="1" applyFont="1" applyFill="1" applyBorder="1" applyAlignment="1">
      <alignment horizontal="right"/>
    </xf>
    <xf numFmtId="3" fontId="4" fillId="0" borderId="10" xfId="0" applyNumberFormat="1" applyFont="1" applyFill="1" applyBorder="1" applyAlignment="1" applyProtection="1">
      <alignment horizontal="right" vertical="center"/>
      <protection locked="0"/>
    </xf>
    <xf numFmtId="3" fontId="4" fillId="0" borderId="3"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right" vertical="center"/>
      <protection locked="0"/>
    </xf>
    <xf numFmtId="3" fontId="1" fillId="0" borderId="0" xfId="0" applyNumberFormat="1" applyFont="1" applyAlignment="1">
      <alignment horizontal="right"/>
    </xf>
    <xf numFmtId="3" fontId="1" fillId="0" borderId="11" xfId="0" applyNumberFormat="1" applyFont="1" applyBorder="1" applyAlignment="1">
      <alignment horizontal="right"/>
    </xf>
    <xf numFmtId="3" fontId="4" fillId="0" borderId="10"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15" xfId="0" applyNumberFormat="1" applyFont="1" applyFill="1" applyBorder="1" applyAlignment="1">
      <alignment horizontal="right"/>
    </xf>
    <xf numFmtId="3" fontId="4" fillId="0" borderId="10" xfId="0"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0" fontId="4" fillId="6" borderId="4" xfId="0" applyFont="1" applyFill="1" applyBorder="1" applyAlignment="1">
      <alignment horizontal="right" vertical="center"/>
    </xf>
    <xf numFmtId="0" fontId="4" fillId="6" borderId="5" xfId="0" applyFont="1" applyFill="1" applyBorder="1" applyAlignment="1">
      <alignment horizontal="right" vertical="center"/>
    </xf>
    <xf numFmtId="0" fontId="4" fillId="6" borderId="6" xfId="0" applyFont="1" applyFill="1" applyBorder="1" applyAlignment="1">
      <alignment horizontal="right" vertical="center"/>
    </xf>
    <xf numFmtId="4" fontId="6" fillId="0" borderId="4" xfId="0" applyNumberFormat="1" applyFont="1" applyFill="1" applyBorder="1" applyAlignment="1">
      <alignment horizontal="right" wrapText="1"/>
    </xf>
    <xf numFmtId="4" fontId="6" fillId="0" borderId="6" xfId="0" applyNumberFormat="1" applyFont="1" applyFill="1" applyBorder="1" applyAlignment="1">
      <alignment horizontal="right" wrapText="1"/>
    </xf>
    <xf numFmtId="0" fontId="4" fillId="3" borderId="4" xfId="0" applyFont="1" applyFill="1" applyBorder="1" applyAlignment="1">
      <alignment horizontal="center"/>
    </xf>
    <xf numFmtId="0" fontId="4" fillId="3" borderId="6" xfId="0" applyFont="1" applyFill="1" applyBorder="1" applyAlignment="1">
      <alignment horizontal="center"/>
    </xf>
    <xf numFmtId="49" fontId="6" fillId="2" borderId="1" xfId="0" applyNumberFormat="1" applyFont="1" applyFill="1" applyBorder="1" applyAlignment="1">
      <alignment horizontal="center" wrapText="1"/>
    </xf>
    <xf numFmtId="170" fontId="6" fillId="2" borderId="31" xfId="0" applyNumberFormat="1" applyFont="1" applyFill="1" applyBorder="1" applyAlignment="1">
      <alignment horizontal="right"/>
    </xf>
    <xf numFmtId="170" fontId="6" fillId="2" borderId="32" xfId="0" applyNumberFormat="1" applyFont="1" applyFill="1" applyBorder="1" applyAlignment="1">
      <alignment horizontal="right"/>
    </xf>
    <xf numFmtId="170" fontId="6" fillId="2" borderId="33" xfId="0" applyNumberFormat="1" applyFont="1" applyFill="1" applyBorder="1" applyAlignment="1">
      <alignment horizontal="right"/>
    </xf>
    <xf numFmtId="170" fontId="6" fillId="0" borderId="4" xfId="0" applyNumberFormat="1" applyFont="1" applyFill="1" applyBorder="1" applyAlignment="1">
      <alignment horizontal="center"/>
    </xf>
    <xf numFmtId="170" fontId="6" fillId="0" borderId="5" xfId="0" applyNumberFormat="1" applyFont="1" applyFill="1" applyBorder="1" applyAlignment="1">
      <alignment horizontal="center"/>
    </xf>
    <xf numFmtId="170" fontId="6" fillId="0" borderId="6" xfId="0" applyNumberFormat="1" applyFont="1" applyFill="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3" borderId="9" xfId="0" applyFont="1" applyFill="1" applyBorder="1" applyAlignment="1">
      <alignment horizontal="center"/>
    </xf>
    <xf numFmtId="0" fontId="1" fillId="3" borderId="2" xfId="0" applyFont="1" applyFill="1" applyBorder="1" applyAlignment="1">
      <alignment horizontal="center"/>
    </xf>
    <xf numFmtId="0" fontId="1" fillId="3" borderId="13" xfId="0" applyFont="1" applyFill="1" applyBorder="1" applyAlignment="1">
      <alignment horizontal="center"/>
    </xf>
    <xf numFmtId="0" fontId="1" fillId="0" borderId="9" xfId="0" applyNumberFormat="1" applyFont="1" applyBorder="1" applyAlignment="1" applyProtection="1">
      <alignment horizontal="left" vertical="top" wrapText="1"/>
      <protection locked="0"/>
    </xf>
    <xf numFmtId="0" fontId="1" fillId="0" borderId="2" xfId="0" applyNumberFormat="1" applyFont="1" applyBorder="1" applyAlignment="1" applyProtection="1">
      <alignment horizontal="left" vertical="top" wrapText="1"/>
      <protection locked="0"/>
    </xf>
    <xf numFmtId="0" fontId="1" fillId="0" borderId="13"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11"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3" xfId="0" applyNumberFormat="1" applyFont="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32">
        <row r="2">
          <cell r="B2">
            <v>2099</v>
          </cell>
        </row>
        <row r="3">
          <cell r="B3" t="str">
            <v>ENTIDAD: Caja de Ahorros y M. P. de EXTREMADURA</v>
          </cell>
        </row>
        <row r="5">
          <cell r="B5">
            <v>39082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dimension ref="A1:AC37"/>
  <sheetViews>
    <sheetView zoomScale="90" zoomScaleNormal="90" workbookViewId="0" topLeftCell="A1">
      <selection activeCell="E14" sqref="E14:H14"/>
    </sheetView>
  </sheetViews>
  <sheetFormatPr defaultColWidth="11.421875" defaultRowHeight="12.75"/>
  <cols>
    <col min="1" max="2" width="11.421875" style="5" customWidth="1"/>
    <col min="3" max="3" width="16.57421875" style="5" customWidth="1"/>
    <col min="4" max="4" width="8.421875" style="5" customWidth="1"/>
    <col min="5" max="7" width="11.421875" style="5" customWidth="1"/>
    <col min="8" max="8" width="47.7109375" style="5" customWidth="1"/>
    <col min="9" max="25" width="11.421875" style="5" customWidth="1"/>
    <col min="26" max="26" width="11.421875" style="5" hidden="1" customWidth="1"/>
    <col min="27" max="27" width="15.8515625" style="5" hidden="1" customWidth="1"/>
    <col min="28" max="28" width="17.57421875" style="5" hidden="1" customWidth="1"/>
    <col min="29" max="30" width="11.421875" style="5" hidden="1" customWidth="1"/>
    <col min="31" max="16384" width="11.421875" style="5" customWidth="1"/>
  </cols>
  <sheetData>
    <row r="1" spans="1:29" s="7" customFormat="1" ht="40.5" customHeight="1">
      <c r="A1" s="748" t="s">
        <v>897</v>
      </c>
      <c r="B1" s="748"/>
      <c r="C1" s="748"/>
      <c r="D1" s="748"/>
      <c r="E1" s="748"/>
      <c r="F1" s="748"/>
      <c r="G1" s="748"/>
      <c r="H1" s="748"/>
      <c r="I1" s="386"/>
      <c r="J1" s="386"/>
      <c r="K1" s="386"/>
      <c r="L1" s="386"/>
      <c r="M1" s="386"/>
      <c r="N1" s="386"/>
      <c r="O1" s="386"/>
      <c r="P1" s="386"/>
      <c r="Q1" s="386"/>
      <c r="R1" s="386"/>
      <c r="S1" s="386"/>
      <c r="T1" s="386"/>
      <c r="U1" s="386"/>
      <c r="AA1" s="387" t="s">
        <v>923</v>
      </c>
      <c r="AB1" s="387" t="s">
        <v>1720</v>
      </c>
      <c r="AC1" s="7" t="s">
        <v>1701</v>
      </c>
    </row>
    <row r="2" spans="1:29" s="2" customFormat="1" ht="11.25">
      <c r="A2" s="759" t="s">
        <v>477</v>
      </c>
      <c r="B2" s="760"/>
      <c r="C2" s="760"/>
      <c r="D2" s="760"/>
      <c r="E2" s="760"/>
      <c r="F2" s="760"/>
      <c r="G2" s="760"/>
      <c r="H2" s="761"/>
      <c r="AA2" s="3" t="s">
        <v>1788</v>
      </c>
      <c r="AB2" s="3" t="s">
        <v>526</v>
      </c>
      <c r="AC2" s="2" t="s">
        <v>1702</v>
      </c>
    </row>
    <row r="3" spans="1:29" s="2" customFormat="1" ht="11.25">
      <c r="A3" s="758"/>
      <c r="B3" s="758"/>
      <c r="C3" s="758"/>
      <c r="D3" s="758"/>
      <c r="E3" s="758"/>
      <c r="F3" s="758"/>
      <c r="G3" s="758"/>
      <c r="H3" s="758"/>
      <c r="AA3" s="3" t="s">
        <v>525</v>
      </c>
      <c r="AB3" s="3" t="s">
        <v>527</v>
      </c>
      <c r="AC3" s="2" t="s">
        <v>1703</v>
      </c>
    </row>
    <row r="4" spans="1:8" s="2" customFormat="1" ht="11.25">
      <c r="A4" s="780" t="s">
        <v>1722</v>
      </c>
      <c r="B4" s="781"/>
      <c r="C4" s="781"/>
      <c r="D4" s="781"/>
      <c r="E4" s="781"/>
      <c r="F4" s="781"/>
      <c r="G4" s="781"/>
      <c r="H4" s="782"/>
    </row>
    <row r="5" spans="1:8" s="2" customFormat="1" ht="11.25">
      <c r="A5" s="766" t="s">
        <v>918</v>
      </c>
      <c r="B5" s="766"/>
      <c r="C5" s="766"/>
      <c r="D5" s="153" t="s">
        <v>931</v>
      </c>
      <c r="E5" s="767" t="s">
        <v>2170</v>
      </c>
      <c r="F5" s="768"/>
      <c r="G5" s="768"/>
      <c r="H5" s="769"/>
    </row>
    <row r="6" spans="1:8" s="2" customFormat="1" ht="11.25">
      <c r="A6" s="766" t="s">
        <v>915</v>
      </c>
      <c r="B6" s="766"/>
      <c r="C6" s="766"/>
      <c r="D6" s="153" t="s">
        <v>1603</v>
      </c>
      <c r="E6" s="770">
        <v>9052</v>
      </c>
      <c r="F6" s="771"/>
      <c r="G6" s="771"/>
      <c r="H6" s="772"/>
    </row>
    <row r="7" spans="1:8" s="2" customFormat="1" ht="11.25">
      <c r="A7" s="766" t="s">
        <v>916</v>
      </c>
      <c r="B7" s="766"/>
      <c r="C7" s="766"/>
      <c r="D7" s="153" t="s">
        <v>1604</v>
      </c>
      <c r="E7" s="773" t="s">
        <v>711</v>
      </c>
      <c r="F7" s="774"/>
      <c r="G7" s="774"/>
      <c r="H7" s="775"/>
    </row>
    <row r="8" spans="1:8" s="2" customFormat="1" ht="11.25">
      <c r="A8" s="766" t="s">
        <v>917</v>
      </c>
      <c r="B8" s="766"/>
      <c r="C8" s="766"/>
      <c r="D8" s="153" t="s">
        <v>1679</v>
      </c>
      <c r="E8" s="773" t="s">
        <v>2171</v>
      </c>
      <c r="F8" s="774"/>
      <c r="G8" s="774"/>
      <c r="H8" s="775"/>
    </row>
    <row r="9" spans="1:8" s="2" customFormat="1" ht="11.25">
      <c r="A9" s="726" t="s">
        <v>1700</v>
      </c>
      <c r="B9" s="727"/>
      <c r="C9" s="724"/>
      <c r="D9" s="153" t="s">
        <v>1680</v>
      </c>
      <c r="E9" s="732"/>
      <c r="F9" s="733"/>
      <c r="G9" s="733"/>
      <c r="H9" s="734"/>
    </row>
    <row r="10" spans="1:8" s="2" customFormat="1" ht="11.25">
      <c r="A10" s="766" t="s">
        <v>919</v>
      </c>
      <c r="B10" s="766"/>
      <c r="C10" s="766"/>
      <c r="D10" s="153" t="s">
        <v>1605</v>
      </c>
      <c r="E10" s="776"/>
      <c r="F10" s="776"/>
      <c r="G10" s="776"/>
      <c r="H10" s="776"/>
    </row>
    <row r="11" spans="1:8" s="2" customFormat="1" ht="11.25">
      <c r="A11" s="766" t="s">
        <v>920</v>
      </c>
      <c r="B11" s="766"/>
      <c r="C11" s="766"/>
      <c r="D11" s="153" t="s">
        <v>1612</v>
      </c>
      <c r="E11" s="773"/>
      <c r="F11" s="774"/>
      <c r="G11" s="774"/>
      <c r="H11" s="775"/>
    </row>
    <row r="12" spans="1:8" s="2" customFormat="1" ht="11.25">
      <c r="A12" s="766" t="s">
        <v>921</v>
      </c>
      <c r="B12" s="766"/>
      <c r="C12" s="766"/>
      <c r="D12" s="153" t="s">
        <v>1613</v>
      </c>
      <c r="E12" s="773" t="s">
        <v>712</v>
      </c>
      <c r="F12" s="774"/>
      <c r="G12" s="774"/>
      <c r="H12" s="775"/>
    </row>
    <row r="13" spans="1:8" s="2" customFormat="1" ht="11.25">
      <c r="A13" s="766" t="s">
        <v>922</v>
      </c>
      <c r="B13" s="766"/>
      <c r="C13" s="766"/>
      <c r="D13" s="153" t="s">
        <v>1614</v>
      </c>
      <c r="E13" s="776" t="s">
        <v>713</v>
      </c>
      <c r="F13" s="776"/>
      <c r="G13" s="776"/>
      <c r="H13" s="776"/>
    </row>
    <row r="14" spans="1:8" s="2" customFormat="1" ht="11.25">
      <c r="A14" s="766" t="s">
        <v>923</v>
      </c>
      <c r="B14" s="766"/>
      <c r="C14" s="766"/>
      <c r="D14" s="153" t="s">
        <v>1676</v>
      </c>
      <c r="E14" s="777" t="s">
        <v>525</v>
      </c>
      <c r="F14" s="778"/>
      <c r="G14" s="778"/>
      <c r="H14" s="779"/>
    </row>
    <row r="15" spans="1:8" s="2" customFormat="1" ht="11.25">
      <c r="A15" s="766" t="s">
        <v>1720</v>
      </c>
      <c r="B15" s="766"/>
      <c r="C15" s="766"/>
      <c r="D15" s="153" t="s">
        <v>1677</v>
      </c>
      <c r="E15" s="773" t="s">
        <v>526</v>
      </c>
      <c r="F15" s="774"/>
      <c r="G15" s="774"/>
      <c r="H15" s="775"/>
    </row>
    <row r="16" spans="1:8" s="2" customFormat="1" ht="11.25">
      <c r="A16" s="766" t="s">
        <v>1721</v>
      </c>
      <c r="B16" s="766"/>
      <c r="C16" s="766"/>
      <c r="D16" s="153" t="s">
        <v>1196</v>
      </c>
      <c r="E16" s="776" t="s">
        <v>1074</v>
      </c>
      <c r="F16" s="776"/>
      <c r="G16" s="776"/>
      <c r="H16" s="776"/>
    </row>
    <row r="17" spans="1:8" ht="11.25">
      <c r="A17" s="755"/>
      <c r="B17" s="756"/>
      <c r="C17" s="756"/>
      <c r="D17" s="756"/>
      <c r="E17" s="756"/>
      <c r="F17" s="756"/>
      <c r="G17" s="756"/>
      <c r="H17" s="757"/>
    </row>
    <row r="18" spans="1:8" s="2" customFormat="1" ht="11.25">
      <c r="A18" s="780" t="s">
        <v>1723</v>
      </c>
      <c r="B18" s="781"/>
      <c r="C18" s="781"/>
      <c r="D18" s="781"/>
      <c r="E18" s="781"/>
      <c r="F18" s="781"/>
      <c r="G18" s="781"/>
      <c r="H18" s="782"/>
    </row>
    <row r="19" spans="1:8" s="2" customFormat="1" ht="11.25">
      <c r="A19" s="766" t="s">
        <v>1724</v>
      </c>
      <c r="B19" s="766"/>
      <c r="C19" s="766"/>
      <c r="D19" s="153" t="s">
        <v>932</v>
      </c>
      <c r="E19" s="765" t="s">
        <v>714</v>
      </c>
      <c r="F19" s="753"/>
      <c r="G19" s="753"/>
      <c r="H19" s="754"/>
    </row>
    <row r="20" spans="1:8" s="2" customFormat="1" ht="11.25">
      <c r="A20" s="766" t="s">
        <v>1725</v>
      </c>
      <c r="B20" s="766"/>
      <c r="C20" s="766"/>
      <c r="D20" s="153" t="s">
        <v>1117</v>
      </c>
      <c r="E20" s="765" t="s">
        <v>715</v>
      </c>
      <c r="F20" s="753"/>
      <c r="G20" s="753"/>
      <c r="H20" s="754"/>
    </row>
    <row r="21" spans="1:8" s="2" customFormat="1" ht="11.25">
      <c r="A21" s="766" t="s">
        <v>1726</v>
      </c>
      <c r="B21" s="766"/>
      <c r="C21" s="766"/>
      <c r="D21" s="153" t="s">
        <v>1127</v>
      </c>
      <c r="E21" s="765" t="s">
        <v>716</v>
      </c>
      <c r="F21" s="753"/>
      <c r="G21" s="753"/>
      <c r="H21" s="754"/>
    </row>
    <row r="22" spans="1:8" s="2" customFormat="1" ht="11.25">
      <c r="A22" s="766" t="s">
        <v>1727</v>
      </c>
      <c r="B22" s="766"/>
      <c r="C22" s="766"/>
      <c r="D22" s="153" t="s">
        <v>933</v>
      </c>
      <c r="E22" s="732" t="s">
        <v>717</v>
      </c>
      <c r="F22" s="733"/>
      <c r="G22" s="733"/>
      <c r="H22" s="734"/>
    </row>
    <row r="23" spans="1:8" s="2" customFormat="1" ht="11.25">
      <c r="A23" s="745" t="s">
        <v>1728</v>
      </c>
      <c r="B23" s="746"/>
      <c r="C23" s="746"/>
      <c r="D23" s="746"/>
      <c r="E23" s="746"/>
      <c r="F23" s="746"/>
      <c r="G23" s="746"/>
      <c r="H23" s="747"/>
    </row>
    <row r="24" spans="1:8" s="2" customFormat="1" ht="11.25">
      <c r="A24" s="789"/>
      <c r="B24" s="790"/>
      <c r="C24" s="790"/>
      <c r="D24" s="790"/>
      <c r="E24" s="790"/>
      <c r="F24" s="790"/>
      <c r="G24" s="790"/>
      <c r="H24" s="791"/>
    </row>
    <row r="25" spans="1:8" s="2" customFormat="1" ht="11.25">
      <c r="A25" s="780" t="s">
        <v>1729</v>
      </c>
      <c r="B25" s="781"/>
      <c r="C25" s="781"/>
      <c r="D25" s="781"/>
      <c r="E25" s="781"/>
      <c r="F25" s="781"/>
      <c r="G25" s="781"/>
      <c r="H25" s="782"/>
    </row>
    <row r="26" spans="1:8" ht="23.25" customHeight="1">
      <c r="A26" s="684" t="s">
        <v>1128</v>
      </c>
      <c r="B26" s="786"/>
      <c r="C26" s="787"/>
      <c r="D26" s="787"/>
      <c r="E26" s="787"/>
      <c r="F26" s="787"/>
      <c r="G26" s="787"/>
      <c r="H26" s="788"/>
    </row>
    <row r="27" spans="1:8" ht="11.25">
      <c r="A27" s="735"/>
      <c r="B27" s="736"/>
      <c r="C27" s="736"/>
      <c r="D27" s="736"/>
      <c r="E27" s="736"/>
      <c r="F27" s="736"/>
      <c r="G27" s="736"/>
      <c r="H27" s="737"/>
    </row>
    <row r="28" spans="1:8" ht="11.25">
      <c r="A28" s="738"/>
      <c r="B28" s="739"/>
      <c r="C28" s="739"/>
      <c r="D28" s="739"/>
      <c r="E28" s="739"/>
      <c r="F28" s="739"/>
      <c r="G28" s="739"/>
      <c r="H28" s="728"/>
    </row>
    <row r="29" spans="1:8" ht="11.25">
      <c r="A29" s="738"/>
      <c r="B29" s="739"/>
      <c r="C29" s="739"/>
      <c r="D29" s="739"/>
      <c r="E29" s="739"/>
      <c r="F29" s="739"/>
      <c r="G29" s="739"/>
      <c r="H29" s="728"/>
    </row>
    <row r="30" spans="1:8" ht="11.25">
      <c r="A30" s="729"/>
      <c r="B30" s="730"/>
      <c r="C30" s="730"/>
      <c r="D30" s="730"/>
      <c r="E30" s="730"/>
      <c r="F30" s="730"/>
      <c r="G30" s="730"/>
      <c r="H30" s="731"/>
    </row>
    <row r="31" spans="1:8" s="2" customFormat="1" ht="11.25" customHeight="1">
      <c r="A31" s="762" t="s">
        <v>1730</v>
      </c>
      <c r="B31" s="763"/>
      <c r="C31" s="763"/>
      <c r="D31" s="763"/>
      <c r="E31" s="763"/>
      <c r="F31" s="763"/>
      <c r="G31" s="763"/>
      <c r="H31" s="764"/>
    </row>
    <row r="32" spans="1:8" s="2" customFormat="1" ht="11.25">
      <c r="A32" s="153" t="s">
        <v>1610</v>
      </c>
      <c r="B32" s="786"/>
      <c r="C32" s="787"/>
      <c r="D32" s="787"/>
      <c r="E32" s="787"/>
      <c r="F32" s="787"/>
      <c r="G32" s="787"/>
      <c r="H32" s="788"/>
    </row>
    <row r="33" spans="1:8" s="2" customFormat="1" ht="11.25">
      <c r="A33" s="749"/>
      <c r="B33" s="750"/>
      <c r="C33" s="750"/>
      <c r="D33" s="750"/>
      <c r="E33" s="750"/>
      <c r="F33" s="750"/>
      <c r="G33" s="750"/>
      <c r="H33" s="751"/>
    </row>
    <row r="34" spans="1:8" s="2" customFormat="1" ht="11.25">
      <c r="A34" s="752"/>
      <c r="B34" s="740"/>
      <c r="C34" s="740"/>
      <c r="D34" s="740"/>
      <c r="E34" s="740"/>
      <c r="F34" s="740"/>
      <c r="G34" s="740"/>
      <c r="H34" s="741"/>
    </row>
    <row r="35" spans="1:8" s="2" customFormat="1" ht="11.25">
      <c r="A35" s="752"/>
      <c r="B35" s="740"/>
      <c r="C35" s="740"/>
      <c r="D35" s="740"/>
      <c r="E35" s="740"/>
      <c r="F35" s="740"/>
      <c r="G35" s="740"/>
      <c r="H35" s="741"/>
    </row>
    <row r="36" spans="1:8" s="2" customFormat="1" ht="11.25">
      <c r="A36" s="742"/>
      <c r="B36" s="743"/>
      <c r="C36" s="743"/>
      <c r="D36" s="743"/>
      <c r="E36" s="743"/>
      <c r="F36" s="743"/>
      <c r="G36" s="743"/>
      <c r="H36" s="744"/>
    </row>
    <row r="37" spans="1:8" ht="11.25">
      <c r="A37" s="783" t="s">
        <v>523</v>
      </c>
      <c r="B37" s="784"/>
      <c r="C37" s="784"/>
      <c r="D37" s="784"/>
      <c r="E37" s="784"/>
      <c r="F37" s="784"/>
      <c r="G37" s="784"/>
      <c r="H37" s="785"/>
    </row>
  </sheetData>
  <sheetProtection/>
  <mergeCells count="47">
    <mergeCell ref="B26:H26"/>
    <mergeCell ref="A27:H30"/>
    <mergeCell ref="A9:C9"/>
    <mergeCell ref="E9:H9"/>
    <mergeCell ref="E21:H21"/>
    <mergeCell ref="A15:C15"/>
    <mergeCell ref="E15:H15"/>
    <mergeCell ref="A16:C16"/>
    <mergeCell ref="E16:H16"/>
    <mergeCell ref="A13:C13"/>
    <mergeCell ref="A3:H3"/>
    <mergeCell ref="A2:H2"/>
    <mergeCell ref="A1:H1"/>
    <mergeCell ref="A33:H36"/>
    <mergeCell ref="A23:H23"/>
    <mergeCell ref="A22:C22"/>
    <mergeCell ref="E22:H22"/>
    <mergeCell ref="A20:C20"/>
    <mergeCell ref="E20:H20"/>
    <mergeCell ref="A21:C21"/>
    <mergeCell ref="A4:H4"/>
    <mergeCell ref="A37:H37"/>
    <mergeCell ref="B32:H32"/>
    <mergeCell ref="A24:H24"/>
    <mergeCell ref="A31:H31"/>
    <mergeCell ref="A25:H25"/>
    <mergeCell ref="A18:H18"/>
    <mergeCell ref="A19:C19"/>
    <mergeCell ref="E19:H19"/>
    <mergeCell ref="A17:H17"/>
    <mergeCell ref="E13:H13"/>
    <mergeCell ref="A14:C14"/>
    <mergeCell ref="E14:H14"/>
    <mergeCell ref="A11:C11"/>
    <mergeCell ref="E11:H11"/>
    <mergeCell ref="A12:C12"/>
    <mergeCell ref="E12:H12"/>
    <mergeCell ref="A10:C10"/>
    <mergeCell ref="E5:H5"/>
    <mergeCell ref="E6:H6"/>
    <mergeCell ref="E7:H7"/>
    <mergeCell ref="E8:H8"/>
    <mergeCell ref="E10:H10"/>
    <mergeCell ref="A5:C5"/>
    <mergeCell ref="A6:C6"/>
    <mergeCell ref="A7:C7"/>
    <mergeCell ref="A8:C8"/>
  </mergeCells>
  <dataValidations count="4">
    <dataValidation type="list" allowBlank="1" showInputMessage="1" showErrorMessage="1" sqref="E14:H14">
      <formula1>$AA$2:$AA$3</formula1>
    </dataValidation>
    <dataValidation type="list" allowBlank="1" showInputMessage="1" showErrorMessage="1" sqref="E15:H15">
      <formula1>$AB$2:$AB$3</formula1>
    </dataValidation>
    <dataValidation type="whole" allowBlank="1" showInputMessage="1" showErrorMessage="1" errorTitle="Celda de Tipo Numérico" sqref="E6:H6">
      <formula1>0</formula1>
      <formula2>9999</formula2>
    </dataValidation>
    <dataValidation type="list" allowBlank="1" showInputMessage="1" showErrorMessage="1" sqref="E9:H9">
      <formula1>$AC$2:$AC$3</formula1>
    </dataValidation>
  </dataValidations>
  <printOptions/>
  <pageMargins left="0.75" right="0.75" top="1" bottom="1"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Hoja9"/>
  <dimension ref="A1:BB152"/>
  <sheetViews>
    <sheetView tabSelected="1" zoomScale="90" zoomScaleNormal="90" zoomScaleSheetLayoutView="75" workbookViewId="0" topLeftCell="A1">
      <selection activeCell="A5" sqref="A5"/>
    </sheetView>
  </sheetViews>
  <sheetFormatPr defaultColWidth="11.421875" defaultRowHeight="12.75"/>
  <cols>
    <col min="1" max="3" width="19.7109375" style="7" customWidth="1"/>
    <col min="4" max="4" width="5.140625" style="7" customWidth="1"/>
    <col min="5" max="5" width="23.28125" style="7" customWidth="1"/>
    <col min="6" max="6" width="5.140625" style="7" customWidth="1"/>
    <col min="7" max="7" width="20.140625" style="7" customWidth="1"/>
    <col min="8" max="8" width="5.140625" style="7" customWidth="1"/>
    <col min="9" max="9" width="5.8515625" style="7" customWidth="1"/>
    <col min="10" max="10" width="5.140625" style="7" customWidth="1"/>
    <col min="11" max="11" width="23.00390625" style="7" customWidth="1"/>
    <col min="12" max="12" width="5.140625" style="7" customWidth="1"/>
    <col min="13" max="13" width="33.00390625" style="7" customWidth="1"/>
    <col min="14" max="14" width="5.28125" style="7" customWidth="1"/>
    <col min="15" max="15" width="21.00390625" style="7" customWidth="1"/>
    <col min="16" max="16" width="5.140625" style="7" customWidth="1"/>
    <col min="17" max="17" width="19.00390625" style="7" customWidth="1"/>
    <col min="18" max="18" width="5.7109375" style="7" customWidth="1"/>
    <col min="19" max="19" width="30.421875" style="7" customWidth="1"/>
    <col min="20" max="20" width="5.140625" style="7" customWidth="1"/>
    <col min="21" max="21" width="23.7109375" style="7" customWidth="1"/>
    <col min="22" max="22" width="5.140625" style="7" customWidth="1"/>
    <col min="23" max="23" width="21.57421875" style="7" customWidth="1"/>
    <col min="24" max="24" width="5.140625" style="7" customWidth="1"/>
    <col min="25" max="25" width="33.7109375" style="7" customWidth="1"/>
    <col min="26" max="26" width="10.8515625" style="1" hidden="1" customWidth="1"/>
    <col min="27" max="27" width="92.8515625" style="361" hidden="1" customWidth="1"/>
    <col min="28" max="28" width="24.140625" style="1" hidden="1" customWidth="1"/>
    <col min="29" max="29" width="9.140625" style="1" hidden="1" customWidth="1"/>
    <col min="30" max="16384" width="9.140625" style="1" customWidth="1"/>
  </cols>
  <sheetData>
    <row r="1" spans="1:28" ht="40.5" customHeight="1">
      <c r="A1" s="710" t="s">
        <v>897</v>
      </c>
      <c r="B1" s="711"/>
      <c r="C1" s="711"/>
      <c r="D1" s="711"/>
      <c r="E1" s="711"/>
      <c r="F1" s="711"/>
      <c r="G1" s="711"/>
      <c r="H1" s="711"/>
      <c r="I1" s="500"/>
      <c r="J1" s="500"/>
      <c r="K1" s="500"/>
      <c r="L1" s="500"/>
      <c r="M1" s="500"/>
      <c r="N1" s="500"/>
      <c r="O1" s="500"/>
      <c r="P1" s="500"/>
      <c r="Q1" s="500"/>
      <c r="R1" s="500"/>
      <c r="S1" s="500"/>
      <c r="T1" s="500"/>
      <c r="U1" s="500"/>
      <c r="V1" s="500"/>
      <c r="W1" s="500"/>
      <c r="X1" s="500"/>
      <c r="Y1" s="501"/>
      <c r="AA1" s="253" t="s">
        <v>1391</v>
      </c>
      <c r="AB1" s="10" t="s">
        <v>1392</v>
      </c>
    </row>
    <row r="2" spans="1:28" ht="11.25">
      <c r="A2" s="294"/>
      <c r="B2" s="57"/>
      <c r="C2" s="57"/>
      <c r="D2" s="298"/>
      <c r="E2" s="298"/>
      <c r="F2" s="298"/>
      <c r="G2" s="298"/>
      <c r="H2" s="298"/>
      <c r="I2" s="298"/>
      <c r="J2" s="298"/>
      <c r="K2" s="298"/>
      <c r="L2" s="298"/>
      <c r="M2" s="298"/>
      <c r="N2" s="298"/>
      <c r="O2" s="298"/>
      <c r="P2" s="298"/>
      <c r="Q2" s="298"/>
      <c r="R2" s="298"/>
      <c r="S2" s="298"/>
      <c r="T2" s="298"/>
      <c r="U2" s="57"/>
      <c r="V2" s="57"/>
      <c r="W2" s="298"/>
      <c r="X2" s="298"/>
      <c r="Y2" s="499" t="s">
        <v>1111</v>
      </c>
      <c r="Z2" s="7"/>
      <c r="AA2" s="255" t="s">
        <v>2450</v>
      </c>
      <c r="AB2" s="12" t="b">
        <f>s055.00425=s051.00021</f>
        <v>1</v>
      </c>
    </row>
    <row r="3" spans="1:28" s="17" customFormat="1" ht="11.25">
      <c r="A3" s="26"/>
      <c r="B3" s="26"/>
      <c r="C3" s="26"/>
      <c r="D3" s="48"/>
      <c r="E3" s="48"/>
      <c r="F3" s="48"/>
      <c r="G3" s="48"/>
      <c r="H3" s="48"/>
      <c r="I3" s="48"/>
      <c r="J3" s="48"/>
      <c r="K3" s="48"/>
      <c r="L3" s="48"/>
      <c r="M3" s="48"/>
      <c r="N3" s="48"/>
      <c r="O3" s="48"/>
      <c r="P3" s="48"/>
      <c r="Q3" s="48"/>
      <c r="R3" s="48"/>
      <c r="S3" s="48"/>
      <c r="T3" s="48"/>
      <c r="U3" s="48"/>
      <c r="V3" s="48"/>
      <c r="W3" s="48"/>
      <c r="X3" s="48"/>
      <c r="Y3" s="48"/>
      <c r="Z3" s="7"/>
      <c r="AA3" s="255" t="s">
        <v>2451</v>
      </c>
      <c r="AB3" s="12" t="b">
        <f>s055.00450=s051.00050</f>
        <v>1</v>
      </c>
    </row>
    <row r="4" spans="1:28" s="17" customFormat="1" ht="11.25">
      <c r="A4" s="206" t="s">
        <v>1588</v>
      </c>
      <c r="B4" s="314"/>
      <c r="C4" s="314"/>
      <c r="D4" s="152"/>
      <c r="E4" s="962" t="str">
        <f>IF(ISBLANK(s000.00100),"",s000.00100)</f>
        <v>F.T.A. SANTANDER FINANCIACION 3</v>
      </c>
      <c r="F4" s="963"/>
      <c r="G4" s="963"/>
      <c r="H4" s="963"/>
      <c r="I4" s="963"/>
      <c r="J4" s="963"/>
      <c r="K4" s="963"/>
      <c r="L4" s="963"/>
      <c r="M4" s="963"/>
      <c r="N4" s="963"/>
      <c r="O4" s="963"/>
      <c r="P4" s="963"/>
      <c r="Q4" s="963"/>
      <c r="R4" s="963"/>
      <c r="S4" s="963"/>
      <c r="T4" s="963"/>
      <c r="U4" s="963"/>
      <c r="V4" s="963"/>
      <c r="W4" s="963"/>
      <c r="X4" s="963"/>
      <c r="Y4" s="964"/>
      <c r="Z4" s="7"/>
      <c r="AA4" s="255" t="s">
        <v>2452</v>
      </c>
      <c r="AB4" s="12" t="b">
        <f>s055.00475=s051.00080</f>
        <v>1</v>
      </c>
    </row>
    <row r="5" spans="1:28" s="17" customFormat="1" ht="11.25">
      <c r="A5" s="208" t="s">
        <v>1589</v>
      </c>
      <c r="B5" s="315"/>
      <c r="C5" s="315"/>
      <c r="D5" s="250"/>
      <c r="E5" s="965"/>
      <c r="F5" s="966"/>
      <c r="G5" s="966"/>
      <c r="H5" s="966"/>
      <c r="I5" s="966"/>
      <c r="J5" s="966"/>
      <c r="K5" s="966"/>
      <c r="L5" s="966"/>
      <c r="M5" s="966"/>
      <c r="N5" s="966"/>
      <c r="O5" s="966"/>
      <c r="P5" s="966"/>
      <c r="Q5" s="966"/>
      <c r="R5" s="966"/>
      <c r="S5" s="966"/>
      <c r="T5" s="966"/>
      <c r="U5" s="966"/>
      <c r="V5" s="966"/>
      <c r="W5" s="966"/>
      <c r="X5" s="966"/>
      <c r="Y5" s="967"/>
      <c r="Z5" s="36"/>
      <c r="AA5" s="255" t="s">
        <v>2453</v>
      </c>
      <c r="AB5" s="12" t="b">
        <f>s055.00501=s051.00110</f>
        <v>1</v>
      </c>
    </row>
    <row r="6" spans="1:28" s="17" customFormat="1" ht="11.25">
      <c r="A6" s="208" t="s">
        <v>1590</v>
      </c>
      <c r="B6" s="315"/>
      <c r="C6" s="315"/>
      <c r="D6" s="250"/>
      <c r="E6" s="965" t="str">
        <f>IF(ISBLANK(s000.00150),"",s000.00150)</f>
        <v>Santander de Titulizacion S.G.F.T., S.A</v>
      </c>
      <c r="F6" s="966"/>
      <c r="G6" s="966"/>
      <c r="H6" s="966"/>
      <c r="I6" s="966"/>
      <c r="J6" s="966"/>
      <c r="K6" s="966"/>
      <c r="L6" s="966"/>
      <c r="M6" s="966"/>
      <c r="N6" s="966"/>
      <c r="O6" s="966"/>
      <c r="P6" s="966"/>
      <c r="Q6" s="966"/>
      <c r="R6" s="966"/>
      <c r="S6" s="966"/>
      <c r="T6" s="966"/>
      <c r="U6" s="966"/>
      <c r="V6" s="966"/>
      <c r="W6" s="966"/>
      <c r="X6" s="966"/>
      <c r="Y6" s="967"/>
      <c r="Z6" s="36"/>
      <c r="AA6" s="255" t="s">
        <v>2454</v>
      </c>
      <c r="AB6" s="12" t="b">
        <f>s055.00527=s051.00140</f>
        <v>1</v>
      </c>
    </row>
    <row r="7" spans="1:28" s="17" customFormat="1" ht="11.25">
      <c r="A7" s="208" t="s">
        <v>1880</v>
      </c>
      <c r="B7" s="315"/>
      <c r="C7" s="315"/>
      <c r="D7" s="250"/>
      <c r="E7" s="965" t="str">
        <f>IF(ISBLANK(s000.00170),"",s000.00170)</f>
        <v>No</v>
      </c>
      <c r="F7" s="966"/>
      <c r="G7" s="966"/>
      <c r="H7" s="966"/>
      <c r="I7" s="966"/>
      <c r="J7" s="966"/>
      <c r="K7" s="966"/>
      <c r="L7" s="966"/>
      <c r="M7" s="966"/>
      <c r="N7" s="966"/>
      <c r="O7" s="966"/>
      <c r="P7" s="966"/>
      <c r="Q7" s="966"/>
      <c r="R7" s="966"/>
      <c r="S7" s="966"/>
      <c r="T7" s="966"/>
      <c r="U7" s="966"/>
      <c r="V7" s="966"/>
      <c r="W7" s="966"/>
      <c r="X7" s="966"/>
      <c r="Y7" s="967"/>
      <c r="Z7" s="36"/>
      <c r="AA7" s="255" t="s">
        <v>2455</v>
      </c>
      <c r="AB7" s="12" t="b">
        <f>s055.00553=s051.00170</f>
        <v>1</v>
      </c>
    </row>
    <row r="8" spans="1:28" s="17" customFormat="1" ht="11.25">
      <c r="A8" s="210" t="s">
        <v>2232</v>
      </c>
      <c r="B8" s="288"/>
      <c r="C8" s="288"/>
      <c r="D8" s="298"/>
      <c r="E8" s="969" t="str">
        <f>IF(ISBLANK(s000.00180),"",s000.00180)</f>
        <v>Primer Semestre</v>
      </c>
      <c r="F8" s="970"/>
      <c r="G8" s="970"/>
      <c r="H8" s="970"/>
      <c r="I8" s="970"/>
      <c r="J8" s="970"/>
      <c r="K8" s="970"/>
      <c r="L8" s="970"/>
      <c r="M8" s="970"/>
      <c r="N8" s="970"/>
      <c r="O8" s="970"/>
      <c r="P8" s="970"/>
      <c r="Q8" s="970"/>
      <c r="R8" s="970"/>
      <c r="S8" s="970"/>
      <c r="T8" s="970"/>
      <c r="U8" s="970"/>
      <c r="V8" s="970"/>
      <c r="W8" s="970"/>
      <c r="X8" s="970"/>
      <c r="Y8" s="971"/>
      <c r="Z8" s="7"/>
      <c r="AA8" s="255" t="s">
        <v>2456</v>
      </c>
      <c r="AB8" s="12" t="b">
        <f>s055.00576=s051.00021</f>
        <v>1</v>
      </c>
    </row>
    <row r="9" spans="1:28" s="7" customFormat="1" ht="11.25">
      <c r="A9" s="1"/>
      <c r="B9" s="1"/>
      <c r="C9" s="1"/>
      <c r="D9" s="1"/>
      <c r="E9" s="1"/>
      <c r="F9" s="1"/>
      <c r="G9" s="1"/>
      <c r="H9" s="1"/>
      <c r="I9" s="1"/>
      <c r="J9" s="1"/>
      <c r="K9" s="1"/>
      <c r="L9" s="1"/>
      <c r="M9" s="1"/>
      <c r="N9" s="1"/>
      <c r="O9" s="1"/>
      <c r="P9" s="1"/>
      <c r="Q9" s="1"/>
      <c r="R9" s="1"/>
      <c r="S9" s="1"/>
      <c r="T9" s="1"/>
      <c r="U9" s="1"/>
      <c r="V9" s="1"/>
      <c r="W9" s="1"/>
      <c r="X9" s="1"/>
      <c r="Y9" s="1"/>
      <c r="AA9" s="255" t="s">
        <v>2457</v>
      </c>
      <c r="AB9" s="12" t="b">
        <f>s055.00588=s051.00050</f>
        <v>1</v>
      </c>
    </row>
    <row r="10" spans="1:28" s="7" customFormat="1" ht="11.25">
      <c r="A10" s="49" t="s">
        <v>1698</v>
      </c>
      <c r="B10" s="50"/>
      <c r="C10" s="50"/>
      <c r="D10" s="50"/>
      <c r="E10" s="50"/>
      <c r="F10" s="50"/>
      <c r="G10" s="50"/>
      <c r="H10" s="50"/>
      <c r="I10" s="50"/>
      <c r="J10" s="50"/>
      <c r="K10" s="50"/>
      <c r="L10" s="50"/>
      <c r="M10" s="50"/>
      <c r="N10" s="50"/>
      <c r="O10" s="50"/>
      <c r="P10" s="50"/>
      <c r="Q10" s="50"/>
      <c r="R10" s="50"/>
      <c r="S10" s="50"/>
      <c r="T10" s="50"/>
      <c r="U10" s="50"/>
      <c r="V10" s="50"/>
      <c r="W10" s="50"/>
      <c r="X10" s="50"/>
      <c r="Y10" s="51"/>
      <c r="AA10" s="255" t="s">
        <v>2458</v>
      </c>
      <c r="AB10" s="12" t="b">
        <f>s055.00605=s051.00080</f>
        <v>1</v>
      </c>
    </row>
    <row r="11" spans="1:28" s="7" customFormat="1" ht="11.25">
      <c r="A11" s="555"/>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552"/>
      <c r="AA11" s="255" t="s">
        <v>2459</v>
      </c>
      <c r="AB11" s="12" t="b">
        <f>s055.00616=s051.00110</f>
        <v>1</v>
      </c>
    </row>
    <row r="12" spans="1:28" s="7" customFormat="1" ht="11.25">
      <c r="A12" s="556" t="s">
        <v>584</v>
      </c>
      <c r="B12" s="551"/>
      <c r="C12" s="551"/>
      <c r="D12" s="218"/>
      <c r="E12" s="218"/>
      <c r="F12" s="218"/>
      <c r="G12" s="218"/>
      <c r="H12" s="218"/>
      <c r="I12" s="218"/>
      <c r="J12" s="218"/>
      <c r="K12" s="218"/>
      <c r="L12" s="218"/>
      <c r="M12" s="218"/>
      <c r="N12" s="218"/>
      <c r="O12" s="218"/>
      <c r="P12" s="218"/>
      <c r="Q12" s="218"/>
      <c r="R12" s="218"/>
      <c r="S12" s="218"/>
      <c r="T12" s="218"/>
      <c r="U12" s="218"/>
      <c r="V12" s="218"/>
      <c r="W12" s="218"/>
      <c r="X12" s="218"/>
      <c r="Y12" s="219"/>
      <c r="AA12" s="255" t="s">
        <v>2460</v>
      </c>
      <c r="AB12" s="12" t="b">
        <f>s055.00625=s051.00140</f>
        <v>1</v>
      </c>
    </row>
    <row r="13" spans="1:28" s="7" customFormat="1" ht="11.25">
      <c r="A13" s="560"/>
      <c r="B13" s="619"/>
      <c r="C13" s="619"/>
      <c r="D13" s="270"/>
      <c r="E13" s="270"/>
      <c r="F13" s="270"/>
      <c r="G13" s="270"/>
      <c r="H13" s="270"/>
      <c r="I13" s="270"/>
      <c r="J13" s="270"/>
      <c r="K13" s="270"/>
      <c r="L13" s="270"/>
      <c r="M13" s="270"/>
      <c r="N13" s="270"/>
      <c r="O13" s="270"/>
      <c r="P13" s="620"/>
      <c r="Q13" s="620"/>
      <c r="R13" s="620"/>
      <c r="S13" s="620"/>
      <c r="T13" s="270"/>
      <c r="U13" s="270"/>
      <c r="V13" s="270"/>
      <c r="W13" s="270"/>
      <c r="X13" s="270"/>
      <c r="Y13" s="271"/>
      <c r="AA13" s="255" t="s">
        <v>2461</v>
      </c>
      <c r="AB13" s="12" t="b">
        <f>s055.00636=s051.00170</f>
        <v>1</v>
      </c>
    </row>
    <row r="14" spans="1:28" ht="11.25">
      <c r="A14" s="53" t="s">
        <v>1659</v>
      </c>
      <c r="B14" s="73"/>
      <c r="C14" s="73"/>
      <c r="D14" s="54"/>
      <c r="E14" s="54"/>
      <c r="F14" s="54"/>
      <c r="G14" s="54"/>
      <c r="H14" s="54"/>
      <c r="I14" s="54"/>
      <c r="J14" s="843" t="s">
        <v>1506</v>
      </c>
      <c r="K14" s="843"/>
      <c r="L14" s="843"/>
      <c r="M14" s="843"/>
      <c r="N14" s="55"/>
      <c r="O14" s="54"/>
      <c r="P14" s="795" t="s">
        <v>878</v>
      </c>
      <c r="Q14" s="795"/>
      <c r="R14" s="795"/>
      <c r="S14" s="795"/>
      <c r="T14" s="55"/>
      <c r="U14" s="54"/>
      <c r="V14" s="843" t="s">
        <v>1670</v>
      </c>
      <c r="W14" s="843"/>
      <c r="X14" s="843"/>
      <c r="Y14" s="856"/>
      <c r="AA14" s="255" t="s">
        <v>2462</v>
      </c>
      <c r="AB14" s="12" t="b">
        <f>s055.01405=s051.00021</f>
        <v>1</v>
      </c>
    </row>
    <row r="15" spans="1:28" ht="11.25">
      <c r="A15" s="56" t="s">
        <v>909</v>
      </c>
      <c r="B15" s="103"/>
      <c r="C15" s="103"/>
      <c r="D15" s="57"/>
      <c r="E15" s="57"/>
      <c r="F15" s="57"/>
      <c r="G15" s="57"/>
      <c r="H15" s="57"/>
      <c r="I15" s="57"/>
      <c r="J15" s="795" t="s">
        <v>2383</v>
      </c>
      <c r="K15" s="795"/>
      <c r="L15" s="810" t="s">
        <v>874</v>
      </c>
      <c r="M15" s="810"/>
      <c r="N15" s="58"/>
      <c r="O15" s="57"/>
      <c r="P15" s="810" t="s">
        <v>2383</v>
      </c>
      <c r="Q15" s="810"/>
      <c r="R15" s="810" t="s">
        <v>874</v>
      </c>
      <c r="S15" s="810"/>
      <c r="T15" s="58"/>
      <c r="U15" s="57"/>
      <c r="V15" s="810" t="s">
        <v>2383</v>
      </c>
      <c r="W15" s="810"/>
      <c r="X15" s="795" t="s">
        <v>874</v>
      </c>
      <c r="Y15" s="841"/>
      <c r="Z15" s="59"/>
      <c r="AA15" s="255" t="s">
        <v>2463</v>
      </c>
      <c r="AB15" s="12" t="b">
        <f>s055.01415=s051.00050</f>
        <v>1</v>
      </c>
    </row>
    <row r="16" spans="1:28" ht="11.25">
      <c r="A16" s="247" t="s">
        <v>1257</v>
      </c>
      <c r="B16" s="247"/>
      <c r="C16" s="247"/>
      <c r="D16" s="77"/>
      <c r="E16" s="77"/>
      <c r="F16" s="77"/>
      <c r="G16" s="77"/>
      <c r="H16" s="77"/>
      <c r="I16" s="77"/>
      <c r="J16" s="60" t="s">
        <v>1129</v>
      </c>
      <c r="K16" s="427">
        <v>7088</v>
      </c>
      <c r="L16" s="60" t="s">
        <v>743</v>
      </c>
      <c r="M16" s="1000">
        <v>84568000</v>
      </c>
      <c r="N16" s="1001"/>
      <c r="O16" s="1002"/>
      <c r="P16" s="62" t="s">
        <v>274</v>
      </c>
      <c r="Q16" s="427">
        <v>8016</v>
      </c>
      <c r="R16" s="60" t="s">
        <v>778</v>
      </c>
      <c r="S16" s="1000">
        <v>100787000</v>
      </c>
      <c r="T16" s="1001"/>
      <c r="U16" s="1002"/>
      <c r="V16" s="62" t="s">
        <v>819</v>
      </c>
      <c r="W16" s="427">
        <v>21850</v>
      </c>
      <c r="X16" s="60" t="s">
        <v>2226</v>
      </c>
      <c r="Y16" s="679">
        <v>194326000</v>
      </c>
      <c r="AA16" s="255" t="s">
        <v>2464</v>
      </c>
      <c r="AB16" s="12" t="b">
        <f>s055.01520=s051.00021</f>
        <v>1</v>
      </c>
    </row>
    <row r="17" spans="1:28" ht="11.25">
      <c r="A17" s="247" t="s">
        <v>1258</v>
      </c>
      <c r="B17" s="247"/>
      <c r="C17" s="247"/>
      <c r="D17" s="77"/>
      <c r="E17" s="77"/>
      <c r="F17" s="77"/>
      <c r="G17" s="77"/>
      <c r="H17" s="77"/>
      <c r="I17" s="77"/>
      <c r="J17" s="60" t="s">
        <v>1130</v>
      </c>
      <c r="K17" s="427">
        <v>1617</v>
      </c>
      <c r="L17" s="60" t="s">
        <v>744</v>
      </c>
      <c r="M17" s="1003">
        <v>12972000</v>
      </c>
      <c r="N17" s="1004"/>
      <c r="O17" s="1005"/>
      <c r="P17" s="62" t="s">
        <v>759</v>
      </c>
      <c r="Q17" s="427">
        <v>1761</v>
      </c>
      <c r="R17" s="60" t="s">
        <v>779</v>
      </c>
      <c r="S17" s="1003">
        <v>15326000</v>
      </c>
      <c r="T17" s="1004"/>
      <c r="U17" s="1005"/>
      <c r="V17" s="62" t="s">
        <v>820</v>
      </c>
      <c r="W17" s="427">
        <v>4587</v>
      </c>
      <c r="X17" s="60" t="s">
        <v>2227</v>
      </c>
      <c r="Y17" s="351">
        <v>33992000</v>
      </c>
      <c r="AA17" s="255" t="s">
        <v>2465</v>
      </c>
      <c r="AB17" s="12" t="b">
        <f>s055.01541=s051.00050</f>
        <v>1</v>
      </c>
    </row>
    <row r="18" spans="1:28" ht="11.25">
      <c r="A18" s="247" t="s">
        <v>1259</v>
      </c>
      <c r="B18" s="247"/>
      <c r="C18" s="247"/>
      <c r="D18" s="77"/>
      <c r="E18" s="77"/>
      <c r="F18" s="77"/>
      <c r="G18" s="77"/>
      <c r="H18" s="77"/>
      <c r="I18" s="77"/>
      <c r="J18" s="60" t="s">
        <v>1131</v>
      </c>
      <c r="K18" s="427">
        <v>709</v>
      </c>
      <c r="L18" s="60" t="s">
        <v>745</v>
      </c>
      <c r="M18" s="1003">
        <v>7092000</v>
      </c>
      <c r="N18" s="1004"/>
      <c r="O18" s="1005"/>
      <c r="P18" s="62" t="s">
        <v>760</v>
      </c>
      <c r="Q18" s="427">
        <v>778</v>
      </c>
      <c r="R18" s="60" t="s">
        <v>780</v>
      </c>
      <c r="S18" s="1003">
        <v>10674000</v>
      </c>
      <c r="T18" s="1004"/>
      <c r="U18" s="1005"/>
      <c r="V18" s="62" t="s">
        <v>821</v>
      </c>
      <c r="W18" s="427">
        <v>2831</v>
      </c>
      <c r="X18" s="60" t="s">
        <v>2228</v>
      </c>
      <c r="Y18" s="351">
        <v>20637000</v>
      </c>
      <c r="AA18" s="255" t="s">
        <v>2466</v>
      </c>
      <c r="AB18" s="12" t="b">
        <f>s055.01562=s051.00080</f>
        <v>1</v>
      </c>
    </row>
    <row r="19" spans="1:28" ht="11.25">
      <c r="A19" s="247" t="s">
        <v>1260</v>
      </c>
      <c r="B19" s="247"/>
      <c r="C19" s="247"/>
      <c r="D19" s="77"/>
      <c r="E19" s="77"/>
      <c r="F19" s="77"/>
      <c r="G19" s="77"/>
      <c r="H19" s="77"/>
      <c r="I19" s="77"/>
      <c r="J19" s="60" t="s">
        <v>248</v>
      </c>
      <c r="K19" s="427">
        <v>1253</v>
      </c>
      <c r="L19" s="60" t="s">
        <v>746</v>
      </c>
      <c r="M19" s="1003">
        <v>11646000</v>
      </c>
      <c r="N19" s="1004"/>
      <c r="O19" s="1005"/>
      <c r="P19" s="62" t="s">
        <v>761</v>
      </c>
      <c r="Q19" s="427">
        <v>1410</v>
      </c>
      <c r="R19" s="60" t="s">
        <v>781</v>
      </c>
      <c r="S19" s="1003">
        <v>13780000</v>
      </c>
      <c r="T19" s="1004"/>
      <c r="U19" s="1005"/>
      <c r="V19" s="62" t="s">
        <v>822</v>
      </c>
      <c r="W19" s="427">
        <v>2344</v>
      </c>
      <c r="X19" s="60" t="s">
        <v>2229</v>
      </c>
      <c r="Y19" s="351">
        <v>23585000</v>
      </c>
      <c r="AA19" s="255" t="s">
        <v>2467</v>
      </c>
      <c r="AB19" s="12" t="b">
        <f>s055.01583=s051.00110</f>
        <v>1</v>
      </c>
    </row>
    <row r="20" spans="1:28" ht="11.25">
      <c r="A20" s="247" t="s">
        <v>1261</v>
      </c>
      <c r="B20" s="247"/>
      <c r="C20" s="247"/>
      <c r="D20" s="77"/>
      <c r="E20" s="77"/>
      <c r="F20" s="77"/>
      <c r="G20" s="77"/>
      <c r="H20" s="77"/>
      <c r="I20" s="77"/>
      <c r="J20" s="60" t="s">
        <v>249</v>
      </c>
      <c r="K20" s="427">
        <v>4000</v>
      </c>
      <c r="L20" s="60" t="s">
        <v>267</v>
      </c>
      <c r="M20" s="1003">
        <v>31223000</v>
      </c>
      <c r="N20" s="1004"/>
      <c r="O20" s="1005"/>
      <c r="P20" s="62" t="s">
        <v>762</v>
      </c>
      <c r="Q20" s="427">
        <v>4424</v>
      </c>
      <c r="R20" s="60" t="s">
        <v>782</v>
      </c>
      <c r="S20" s="1003">
        <v>38162000</v>
      </c>
      <c r="T20" s="1004"/>
      <c r="U20" s="1005"/>
      <c r="V20" s="62" t="s">
        <v>823</v>
      </c>
      <c r="W20" s="427">
        <v>10034</v>
      </c>
      <c r="X20" s="60" t="s">
        <v>2230</v>
      </c>
      <c r="Y20" s="351">
        <v>75433000</v>
      </c>
      <c r="AA20" s="255" t="s">
        <v>2468</v>
      </c>
      <c r="AB20" s="12" t="b">
        <f>s055.01604=s051.00140</f>
        <v>1</v>
      </c>
    </row>
    <row r="21" spans="1:28" ht="11.25">
      <c r="A21" s="247" t="s">
        <v>1262</v>
      </c>
      <c r="B21" s="247"/>
      <c r="C21" s="247"/>
      <c r="D21" s="77"/>
      <c r="E21" s="77"/>
      <c r="F21" s="77"/>
      <c r="G21" s="77"/>
      <c r="H21" s="77"/>
      <c r="I21" s="77"/>
      <c r="J21" s="60" t="s">
        <v>250</v>
      </c>
      <c r="K21" s="427">
        <v>751</v>
      </c>
      <c r="L21" s="60" t="s">
        <v>269</v>
      </c>
      <c r="M21" s="1003">
        <v>9758000</v>
      </c>
      <c r="N21" s="1004"/>
      <c r="O21" s="1005"/>
      <c r="P21" s="62" t="s">
        <v>763</v>
      </c>
      <c r="Q21" s="427">
        <v>817</v>
      </c>
      <c r="R21" s="60" t="s">
        <v>783</v>
      </c>
      <c r="S21" s="1003">
        <v>11636000</v>
      </c>
      <c r="T21" s="1004"/>
      <c r="U21" s="1005"/>
      <c r="V21" s="62" t="s">
        <v>824</v>
      </c>
      <c r="W21" s="427">
        <v>2229</v>
      </c>
      <c r="X21" s="60" t="s">
        <v>2231</v>
      </c>
      <c r="Y21" s="351">
        <v>19342000</v>
      </c>
      <c r="AA21" s="255" t="s">
        <v>2469</v>
      </c>
      <c r="AB21" s="12" t="b">
        <f>s055.01625=s051.00170</f>
        <v>1</v>
      </c>
    </row>
    <row r="22" spans="1:28" ht="11.25">
      <c r="A22" s="247" t="s">
        <v>1263</v>
      </c>
      <c r="B22" s="247"/>
      <c r="C22" s="247"/>
      <c r="D22" s="77"/>
      <c r="E22" s="77"/>
      <c r="F22" s="77"/>
      <c r="G22" s="77"/>
      <c r="H22" s="77"/>
      <c r="I22" s="77"/>
      <c r="J22" s="60" t="s">
        <v>251</v>
      </c>
      <c r="K22" s="427">
        <v>2452</v>
      </c>
      <c r="L22" s="60" t="s">
        <v>270</v>
      </c>
      <c r="M22" s="1003">
        <v>19091000</v>
      </c>
      <c r="N22" s="1004"/>
      <c r="O22" s="1005"/>
      <c r="P22" s="62" t="s">
        <v>764</v>
      </c>
      <c r="Q22" s="427">
        <v>2722</v>
      </c>
      <c r="R22" s="60" t="s">
        <v>784</v>
      </c>
      <c r="S22" s="1003">
        <v>23213000</v>
      </c>
      <c r="T22" s="1004"/>
      <c r="U22" s="1005"/>
      <c r="V22" s="62" t="s">
        <v>232</v>
      </c>
      <c r="W22" s="427">
        <v>6940</v>
      </c>
      <c r="X22" s="60" t="s">
        <v>2235</v>
      </c>
      <c r="Y22" s="351">
        <v>49270000</v>
      </c>
      <c r="AA22" s="255" t="s">
        <v>571</v>
      </c>
      <c r="AB22" s="12" t="b">
        <f>s055.03050=s052.08005</f>
        <v>1</v>
      </c>
    </row>
    <row r="23" spans="1:28" ht="11.25">
      <c r="A23" s="247" t="s">
        <v>1264</v>
      </c>
      <c r="B23" s="247"/>
      <c r="C23" s="247"/>
      <c r="D23" s="77"/>
      <c r="E23" s="77"/>
      <c r="F23" s="77"/>
      <c r="G23" s="77"/>
      <c r="H23" s="77"/>
      <c r="I23" s="77"/>
      <c r="J23" s="60" t="s">
        <v>252</v>
      </c>
      <c r="K23" s="427">
        <v>1262</v>
      </c>
      <c r="L23" s="60" t="s">
        <v>747</v>
      </c>
      <c r="M23" s="1003">
        <v>14306000</v>
      </c>
      <c r="N23" s="1004"/>
      <c r="O23" s="1005"/>
      <c r="P23" s="62" t="s">
        <v>765</v>
      </c>
      <c r="Q23" s="427">
        <v>1411</v>
      </c>
      <c r="R23" s="60" t="s">
        <v>785</v>
      </c>
      <c r="S23" s="1003">
        <v>17043000</v>
      </c>
      <c r="T23" s="1004"/>
      <c r="U23" s="1005"/>
      <c r="V23" s="62" t="s">
        <v>825</v>
      </c>
      <c r="W23" s="427">
        <v>4498</v>
      </c>
      <c r="X23" s="60" t="s">
        <v>2236</v>
      </c>
      <c r="Y23" s="351">
        <v>34009000</v>
      </c>
      <c r="AA23" s="255" t="s">
        <v>1061</v>
      </c>
      <c r="AB23" s="12" t="b">
        <f>s055.03160=s052.08025</f>
        <v>1</v>
      </c>
    </row>
    <row r="24" spans="1:28" ht="11.25">
      <c r="A24" s="247" t="s">
        <v>1265</v>
      </c>
      <c r="B24" s="247"/>
      <c r="C24" s="247"/>
      <c r="D24" s="77"/>
      <c r="E24" s="77"/>
      <c r="F24" s="77"/>
      <c r="G24" s="77"/>
      <c r="H24" s="77"/>
      <c r="I24" s="77"/>
      <c r="J24" s="60" t="s">
        <v>253</v>
      </c>
      <c r="K24" s="427">
        <v>5204</v>
      </c>
      <c r="L24" s="60" t="s">
        <v>748</v>
      </c>
      <c r="M24" s="1003">
        <v>37716000</v>
      </c>
      <c r="N24" s="1004"/>
      <c r="O24" s="1005"/>
      <c r="P24" s="62" t="s">
        <v>275</v>
      </c>
      <c r="Q24" s="427">
        <v>5833</v>
      </c>
      <c r="R24" s="60" t="s">
        <v>786</v>
      </c>
      <c r="S24" s="1003">
        <v>45919000</v>
      </c>
      <c r="T24" s="1004"/>
      <c r="U24" s="1005"/>
      <c r="V24" s="62" t="s">
        <v>826</v>
      </c>
      <c r="W24" s="427">
        <v>12518</v>
      </c>
      <c r="X24" s="60" t="s">
        <v>2237</v>
      </c>
      <c r="Y24" s="351">
        <v>96588000</v>
      </c>
      <c r="AA24" s="255" t="s">
        <v>572</v>
      </c>
      <c r="AB24" s="12" t="b">
        <f>s055.03220=s052.08085</f>
        <v>1</v>
      </c>
    </row>
    <row r="25" spans="1:28" ht="11.25">
      <c r="A25" s="247" t="s">
        <v>1275</v>
      </c>
      <c r="B25" s="247"/>
      <c r="C25" s="247"/>
      <c r="D25" s="77"/>
      <c r="E25" s="77"/>
      <c r="F25" s="77"/>
      <c r="G25" s="77"/>
      <c r="H25" s="77"/>
      <c r="I25" s="77"/>
      <c r="J25" s="60" t="s">
        <v>254</v>
      </c>
      <c r="K25" s="427">
        <v>47</v>
      </c>
      <c r="L25" s="60" t="s">
        <v>749</v>
      </c>
      <c r="M25" s="1003">
        <v>1107000</v>
      </c>
      <c r="N25" s="1004"/>
      <c r="O25" s="1005"/>
      <c r="P25" s="62" t="s">
        <v>276</v>
      </c>
      <c r="Q25" s="427">
        <v>50</v>
      </c>
      <c r="R25" s="60" t="s">
        <v>806</v>
      </c>
      <c r="S25" s="1003">
        <v>1145000</v>
      </c>
      <c r="T25" s="1004"/>
      <c r="U25" s="1005"/>
      <c r="V25" s="62" t="s">
        <v>827</v>
      </c>
      <c r="W25" s="427">
        <v>165</v>
      </c>
      <c r="X25" s="60" t="s">
        <v>2238</v>
      </c>
      <c r="Y25" s="351">
        <v>2141000</v>
      </c>
      <c r="AA25" s="255" t="s">
        <v>573</v>
      </c>
      <c r="AB25" s="12" t="b">
        <f>s055.03300=s052.08105</f>
        <v>1</v>
      </c>
    </row>
    <row r="26" spans="1:28" ht="11.25">
      <c r="A26" s="247" t="s">
        <v>1266</v>
      </c>
      <c r="B26" s="247"/>
      <c r="C26" s="247"/>
      <c r="D26" s="77"/>
      <c r="E26" s="77"/>
      <c r="F26" s="77"/>
      <c r="G26" s="77"/>
      <c r="H26" s="77"/>
      <c r="I26" s="77"/>
      <c r="J26" s="60" t="s">
        <v>255</v>
      </c>
      <c r="K26" s="427">
        <v>726</v>
      </c>
      <c r="L26" s="60" t="s">
        <v>750</v>
      </c>
      <c r="M26" s="1003">
        <v>8172000</v>
      </c>
      <c r="N26" s="1004"/>
      <c r="O26" s="1005"/>
      <c r="P26" s="62" t="s">
        <v>277</v>
      </c>
      <c r="Q26" s="427">
        <v>801</v>
      </c>
      <c r="R26" s="60" t="s">
        <v>807</v>
      </c>
      <c r="S26" s="1003">
        <v>12396000</v>
      </c>
      <c r="T26" s="1004"/>
      <c r="U26" s="1005"/>
      <c r="V26" s="62" t="s">
        <v>828</v>
      </c>
      <c r="W26" s="427">
        <v>3619</v>
      </c>
      <c r="X26" s="60" t="s">
        <v>2239</v>
      </c>
      <c r="Y26" s="351">
        <v>23335000</v>
      </c>
      <c r="AA26" s="256" t="s">
        <v>1062</v>
      </c>
      <c r="AB26" s="12" t="b">
        <f>s055.00419=s055.00400+s055.00401+s055.00402+s055.00403+s055.00404+s055.00405+s055.00406+s055.00407+s055.00408+s055.00409+s055.00410+s055.00411+s055.00412+s055.00413+s055.00414+s055.00415+s055.00416+s055.00417+s055.00418</f>
        <v>1</v>
      </c>
    </row>
    <row r="27" spans="1:28" ht="11.25">
      <c r="A27" s="247" t="s">
        <v>1267</v>
      </c>
      <c r="B27" s="247"/>
      <c r="C27" s="247"/>
      <c r="D27" s="77"/>
      <c r="E27" s="77"/>
      <c r="F27" s="77"/>
      <c r="G27" s="77"/>
      <c r="H27" s="77"/>
      <c r="I27" s="77"/>
      <c r="J27" s="60" t="s">
        <v>256</v>
      </c>
      <c r="K27" s="427">
        <v>1904</v>
      </c>
      <c r="L27" s="60" t="s">
        <v>751</v>
      </c>
      <c r="M27" s="1003">
        <v>17044000</v>
      </c>
      <c r="N27" s="1004"/>
      <c r="O27" s="1005"/>
      <c r="P27" s="62" t="s">
        <v>766</v>
      </c>
      <c r="Q27" s="427">
        <v>2143</v>
      </c>
      <c r="R27" s="60" t="s">
        <v>808</v>
      </c>
      <c r="S27" s="1003">
        <v>21432000</v>
      </c>
      <c r="T27" s="1004"/>
      <c r="U27" s="1005"/>
      <c r="V27" s="62" t="s">
        <v>829</v>
      </c>
      <c r="W27" s="427">
        <v>5556</v>
      </c>
      <c r="X27" s="60" t="s">
        <v>2240</v>
      </c>
      <c r="Y27" s="351">
        <v>40551000</v>
      </c>
      <c r="AA27" s="255" t="s">
        <v>1063</v>
      </c>
      <c r="AB27" s="12" t="b">
        <f>s055.00425=s055.00419+s055.00420+s055.00422</f>
        <v>1</v>
      </c>
    </row>
    <row r="28" spans="1:28" ht="11.25">
      <c r="A28" s="247" t="s">
        <v>1268</v>
      </c>
      <c r="B28" s="247"/>
      <c r="C28" s="247"/>
      <c r="D28" s="77"/>
      <c r="E28" s="77"/>
      <c r="F28" s="77"/>
      <c r="G28" s="77"/>
      <c r="H28" s="77"/>
      <c r="I28" s="77"/>
      <c r="J28" s="60" t="s">
        <v>257</v>
      </c>
      <c r="K28" s="427">
        <v>8941</v>
      </c>
      <c r="L28" s="60" t="s">
        <v>752</v>
      </c>
      <c r="M28" s="1003">
        <v>89068000</v>
      </c>
      <c r="N28" s="1004"/>
      <c r="O28" s="1005"/>
      <c r="P28" s="62" t="s">
        <v>767</v>
      </c>
      <c r="Q28" s="427">
        <v>10100</v>
      </c>
      <c r="R28" s="60" t="s">
        <v>809</v>
      </c>
      <c r="S28" s="1003">
        <v>106331000</v>
      </c>
      <c r="T28" s="1004"/>
      <c r="U28" s="1005"/>
      <c r="V28" s="62" t="s">
        <v>830</v>
      </c>
      <c r="W28" s="427">
        <v>20132</v>
      </c>
      <c r="X28" s="60" t="s">
        <v>2241</v>
      </c>
      <c r="Y28" s="351">
        <v>187871000</v>
      </c>
      <c r="AA28" s="256" t="s">
        <v>1064</v>
      </c>
      <c r="AB28" s="12" t="b">
        <f>s055.00445=s055.00426+s055.00427+s055.00428+s055.00429+s055.00430+s055.00431+s055.00432+s055.00433+s055.00434+s055.00435+s055.00436+s055.00437+s055.00438+s055.00439+s055.00440+s055.00441+s055.00442+s055.00443+s055.00444</f>
        <v>1</v>
      </c>
    </row>
    <row r="29" spans="1:28" ht="11.25">
      <c r="A29" s="247" t="s">
        <v>1269</v>
      </c>
      <c r="B29" s="247"/>
      <c r="C29" s="247"/>
      <c r="D29" s="77"/>
      <c r="E29" s="77"/>
      <c r="F29" s="77"/>
      <c r="G29" s="77"/>
      <c r="H29" s="77"/>
      <c r="I29" s="77"/>
      <c r="J29" s="60" t="s">
        <v>258</v>
      </c>
      <c r="K29" s="427">
        <v>79</v>
      </c>
      <c r="L29" s="60" t="s">
        <v>753</v>
      </c>
      <c r="M29" s="1003">
        <v>484000</v>
      </c>
      <c r="N29" s="1004"/>
      <c r="O29" s="1005"/>
      <c r="P29" s="62" t="s">
        <v>768</v>
      </c>
      <c r="Q29" s="427">
        <v>84</v>
      </c>
      <c r="R29" s="60" t="s">
        <v>810</v>
      </c>
      <c r="S29" s="1003">
        <v>581000</v>
      </c>
      <c r="T29" s="1004"/>
      <c r="U29" s="1005"/>
      <c r="V29" s="62" t="s">
        <v>831</v>
      </c>
      <c r="W29" s="427">
        <v>208</v>
      </c>
      <c r="X29" s="60" t="s">
        <v>2242</v>
      </c>
      <c r="Y29" s="351">
        <v>1439000</v>
      </c>
      <c r="AA29" s="255" t="s">
        <v>1065</v>
      </c>
      <c r="AB29" s="12" t="b">
        <f>s055.00450=s055.00445+s055.00446+s055.00448</f>
        <v>1</v>
      </c>
    </row>
    <row r="30" spans="1:28" ht="11.25">
      <c r="A30" s="247" t="s">
        <v>1270</v>
      </c>
      <c r="B30" s="247"/>
      <c r="C30" s="247"/>
      <c r="D30" s="312"/>
      <c r="E30" s="312"/>
      <c r="F30" s="312"/>
      <c r="G30" s="312"/>
      <c r="H30" s="312"/>
      <c r="I30" s="312"/>
      <c r="J30" s="60" t="s">
        <v>259</v>
      </c>
      <c r="K30" s="675">
        <v>1219</v>
      </c>
      <c r="L30" s="60" t="s">
        <v>268</v>
      </c>
      <c r="M30" s="1003">
        <v>16202000</v>
      </c>
      <c r="N30" s="1004"/>
      <c r="O30" s="1005"/>
      <c r="P30" s="62" t="s">
        <v>769</v>
      </c>
      <c r="Q30" s="675">
        <v>1446</v>
      </c>
      <c r="R30" s="60" t="s">
        <v>811</v>
      </c>
      <c r="S30" s="1003">
        <v>20338000</v>
      </c>
      <c r="T30" s="1004"/>
      <c r="U30" s="1005"/>
      <c r="V30" s="62" t="s">
        <v>832</v>
      </c>
      <c r="W30" s="427">
        <v>4004</v>
      </c>
      <c r="X30" s="60" t="s">
        <v>2243</v>
      </c>
      <c r="Y30" s="351">
        <v>36271000</v>
      </c>
      <c r="AA30" s="256" t="s">
        <v>1066</v>
      </c>
      <c r="AB30" s="12" t="b">
        <f>s055.00471=s055.00452+s055.00453+s055.00454+s055.00455+s055.00456+s055.00457+s055.00458+s055.00459+s055.00460+s055.00461+s055.00462+s055.00463+s055.00464+s055.00465+s055.00466+s055.00467+s055.00468+s055.00469+s055.00470</f>
        <v>1</v>
      </c>
    </row>
    <row r="31" spans="1:28" ht="11.25">
      <c r="A31" s="247" t="s">
        <v>1271</v>
      </c>
      <c r="B31" s="247"/>
      <c r="C31" s="247"/>
      <c r="D31" s="313"/>
      <c r="E31" s="313"/>
      <c r="F31" s="313"/>
      <c r="G31" s="313"/>
      <c r="H31" s="313"/>
      <c r="I31" s="313"/>
      <c r="J31" s="60" t="s">
        <v>260</v>
      </c>
      <c r="K31" s="675">
        <v>541</v>
      </c>
      <c r="L31" s="60" t="s">
        <v>271</v>
      </c>
      <c r="M31" s="1003">
        <v>9766000</v>
      </c>
      <c r="N31" s="1004"/>
      <c r="O31" s="1005"/>
      <c r="P31" s="62" t="s">
        <v>770</v>
      </c>
      <c r="Q31" s="675">
        <v>585</v>
      </c>
      <c r="R31" s="60" t="s">
        <v>812</v>
      </c>
      <c r="S31" s="1003">
        <v>11323000</v>
      </c>
      <c r="T31" s="1004"/>
      <c r="U31" s="1005"/>
      <c r="V31" s="62" t="s">
        <v>833</v>
      </c>
      <c r="W31" s="427">
        <v>1540</v>
      </c>
      <c r="X31" s="60" t="s">
        <v>2244</v>
      </c>
      <c r="Y31" s="351">
        <v>21488000</v>
      </c>
      <c r="AA31" s="255" t="s">
        <v>1067</v>
      </c>
      <c r="AB31" s="12" t="b">
        <f>s055.00475=s055.00471+s055.00472+s055.00474</f>
        <v>1</v>
      </c>
    </row>
    <row r="32" spans="1:28" ht="11.25">
      <c r="A32" s="247" t="s">
        <v>1272</v>
      </c>
      <c r="B32" s="247"/>
      <c r="C32" s="247"/>
      <c r="D32" s="313"/>
      <c r="E32" s="313"/>
      <c r="F32" s="313"/>
      <c r="G32" s="313"/>
      <c r="H32" s="313"/>
      <c r="I32" s="313"/>
      <c r="J32" s="60" t="s">
        <v>261</v>
      </c>
      <c r="K32" s="675">
        <v>270</v>
      </c>
      <c r="L32" s="60" t="s">
        <v>272</v>
      </c>
      <c r="M32" s="1003">
        <v>2625000</v>
      </c>
      <c r="N32" s="1004"/>
      <c r="O32" s="1005"/>
      <c r="P32" s="62" t="s">
        <v>771</v>
      </c>
      <c r="Q32" s="675">
        <v>295</v>
      </c>
      <c r="R32" s="60" t="s">
        <v>813</v>
      </c>
      <c r="S32" s="1003">
        <v>2972000</v>
      </c>
      <c r="T32" s="1004"/>
      <c r="U32" s="1005"/>
      <c r="V32" s="62" t="s">
        <v>1615</v>
      </c>
      <c r="W32" s="427">
        <v>780</v>
      </c>
      <c r="X32" s="60" t="s">
        <v>2245</v>
      </c>
      <c r="Y32" s="351">
        <v>5899000</v>
      </c>
      <c r="AA32" s="256" t="s">
        <v>1068</v>
      </c>
      <c r="AB32" s="12" t="b">
        <f>s055.00497=s055.00478+s055.00479+s055.00480+s055.00481+s055.00482+s055.00483+s055.00484+s055.00485+s055.00486+s055.00487+s055.00488+s055.00489+s055.00490+s055.00491+s055.00492+s055.00493+s055.00494+s055.00495+s055.00496</f>
        <v>1</v>
      </c>
    </row>
    <row r="33" spans="1:28" ht="11.25">
      <c r="A33" s="247" t="s">
        <v>1273</v>
      </c>
      <c r="B33" s="247"/>
      <c r="C33" s="247"/>
      <c r="D33" s="313"/>
      <c r="E33" s="313"/>
      <c r="F33" s="313"/>
      <c r="G33" s="313"/>
      <c r="H33" s="313"/>
      <c r="I33" s="313"/>
      <c r="J33" s="60" t="s">
        <v>262</v>
      </c>
      <c r="K33" s="675">
        <v>3965</v>
      </c>
      <c r="L33" s="60" t="s">
        <v>754</v>
      </c>
      <c r="M33" s="1003">
        <v>44010000</v>
      </c>
      <c r="N33" s="1004"/>
      <c r="O33" s="1005"/>
      <c r="P33" s="62" t="s">
        <v>772</v>
      </c>
      <c r="Q33" s="675">
        <v>4524</v>
      </c>
      <c r="R33" s="60" t="s">
        <v>814</v>
      </c>
      <c r="S33" s="1003">
        <v>50840000</v>
      </c>
      <c r="T33" s="1004"/>
      <c r="U33" s="1005"/>
      <c r="V33" s="62" t="s">
        <v>2220</v>
      </c>
      <c r="W33" s="427">
        <v>19237</v>
      </c>
      <c r="X33" s="60" t="s">
        <v>2246</v>
      </c>
      <c r="Y33" s="351">
        <v>96120000</v>
      </c>
      <c r="AA33" s="255" t="s">
        <v>1069</v>
      </c>
      <c r="AB33" s="12" t="b">
        <f>s055.00501=s055.00497+s055.00498+s055.00500</f>
        <v>1</v>
      </c>
    </row>
    <row r="34" spans="1:28" ht="11.25">
      <c r="A34" s="247" t="s">
        <v>1274</v>
      </c>
      <c r="B34" s="247"/>
      <c r="C34" s="247"/>
      <c r="D34" s="313"/>
      <c r="E34" s="313"/>
      <c r="F34" s="313"/>
      <c r="G34" s="313"/>
      <c r="H34" s="313"/>
      <c r="I34" s="313"/>
      <c r="J34" s="60" t="s">
        <v>263</v>
      </c>
      <c r="K34" s="675">
        <v>1298</v>
      </c>
      <c r="L34" s="60" t="s">
        <v>755</v>
      </c>
      <c r="M34" s="1053">
        <v>19070000</v>
      </c>
      <c r="N34" s="1048"/>
      <c r="O34" s="1049"/>
      <c r="P34" s="62" t="s">
        <v>773</v>
      </c>
      <c r="Q34" s="675">
        <v>1470</v>
      </c>
      <c r="R34" s="60" t="s">
        <v>815</v>
      </c>
      <c r="S34" s="1053">
        <v>22307000</v>
      </c>
      <c r="T34" s="1048"/>
      <c r="U34" s="1049"/>
      <c r="V34" s="62" t="s">
        <v>2221</v>
      </c>
      <c r="W34" s="427">
        <v>4225</v>
      </c>
      <c r="X34" s="60" t="s">
        <v>2247</v>
      </c>
      <c r="Y34" s="355">
        <v>37703000</v>
      </c>
      <c r="AA34" s="256" t="s">
        <v>1070</v>
      </c>
      <c r="AB34" s="12" t="b">
        <f>s055.00523=s055.00504+s055.00505+s055.00506+s055.00507+s055.00508+s055.00509+s055.00510+s055.00511+s055.00512+s055.00513+s055.00514+s055.00515+s055.00516+s055.00517+s055.00518+s055.00519+s055.00520+s055.00521+s055.00522</f>
        <v>1</v>
      </c>
    </row>
    <row r="35" spans="1:28" s="43" customFormat="1" ht="11.25">
      <c r="A35" s="70" t="s">
        <v>2033</v>
      </c>
      <c r="B35" s="70"/>
      <c r="C35" s="70"/>
      <c r="D35" s="70"/>
      <c r="E35" s="70"/>
      <c r="F35" s="70"/>
      <c r="G35" s="70"/>
      <c r="H35" s="70"/>
      <c r="I35" s="70"/>
      <c r="J35" s="184" t="s">
        <v>264</v>
      </c>
      <c r="K35" s="349">
        <v>43326</v>
      </c>
      <c r="L35" s="644" t="s">
        <v>756</v>
      </c>
      <c r="M35" s="1042">
        <v>435920000</v>
      </c>
      <c r="N35" s="1043"/>
      <c r="O35" s="1044"/>
      <c r="P35" s="184" t="s">
        <v>774</v>
      </c>
      <c r="Q35" s="349">
        <v>48670</v>
      </c>
      <c r="R35" s="184" t="s">
        <v>816</v>
      </c>
      <c r="S35" s="1042">
        <v>526205000</v>
      </c>
      <c r="T35" s="1043"/>
      <c r="U35" s="1044"/>
      <c r="V35" s="184" t="s">
        <v>2222</v>
      </c>
      <c r="W35" s="349">
        <v>127297</v>
      </c>
      <c r="X35" s="184" t="s">
        <v>2248</v>
      </c>
      <c r="Y35" s="350">
        <v>1000000000</v>
      </c>
      <c r="AA35" s="642" t="s">
        <v>1071</v>
      </c>
      <c r="AB35" s="516" t="b">
        <f>s055.00527=s055.00523+s055.00524+s055.00526</f>
        <v>1</v>
      </c>
    </row>
    <row r="36" spans="1:28" ht="11.25">
      <c r="A36" s="247" t="s">
        <v>2035</v>
      </c>
      <c r="B36" s="247"/>
      <c r="C36" s="247"/>
      <c r="D36" s="313"/>
      <c r="E36" s="313"/>
      <c r="F36" s="313"/>
      <c r="G36" s="313"/>
      <c r="H36" s="313"/>
      <c r="I36" s="313"/>
      <c r="J36" s="60" t="s">
        <v>265</v>
      </c>
      <c r="K36" s="676">
        <v>0</v>
      </c>
      <c r="L36" s="60" t="s">
        <v>757</v>
      </c>
      <c r="M36" s="1050">
        <v>0</v>
      </c>
      <c r="N36" s="1051"/>
      <c r="O36" s="1052"/>
      <c r="P36" s="60" t="s">
        <v>775</v>
      </c>
      <c r="Q36" s="675">
        <v>0</v>
      </c>
      <c r="R36" s="60" t="s">
        <v>817</v>
      </c>
      <c r="S36" s="1001">
        <v>0</v>
      </c>
      <c r="T36" s="1001"/>
      <c r="U36" s="1002"/>
      <c r="V36" s="60" t="s">
        <v>2223</v>
      </c>
      <c r="W36" s="427">
        <v>0</v>
      </c>
      <c r="X36" s="60" t="s">
        <v>2249</v>
      </c>
      <c r="Y36" s="679">
        <v>0</v>
      </c>
      <c r="AA36" s="256" t="s">
        <v>1072</v>
      </c>
      <c r="AB36" s="12" t="b">
        <f>s055.00549=s055.00530+s055.00531+s055.00532+s055.00533+s055.00534+s055.00535+s055.00536+s055.00537+s055.00538+s055.00539+s055.00540+s055.00541+s055.00542+s055.00543+s055.00544+s055.00545+s055.00546+s055.00547+s055.00548</f>
        <v>1</v>
      </c>
    </row>
    <row r="37" spans="1:28" ht="11.25">
      <c r="A37" s="247" t="s">
        <v>2036</v>
      </c>
      <c r="B37" s="247"/>
      <c r="C37" s="247"/>
      <c r="D37" s="313"/>
      <c r="E37" s="313"/>
      <c r="F37" s="313"/>
      <c r="G37" s="313"/>
      <c r="H37" s="313"/>
      <c r="I37" s="313"/>
      <c r="J37" s="60" t="s">
        <v>1424</v>
      </c>
      <c r="K37" s="677">
        <v>0</v>
      </c>
      <c r="L37" s="60" t="s">
        <v>758</v>
      </c>
      <c r="M37" s="1045">
        <v>0</v>
      </c>
      <c r="N37" s="1046"/>
      <c r="O37" s="1047"/>
      <c r="P37" s="60" t="s">
        <v>776</v>
      </c>
      <c r="Q37" s="675">
        <v>0</v>
      </c>
      <c r="R37" s="60" t="s">
        <v>1132</v>
      </c>
      <c r="S37" s="1048">
        <v>0</v>
      </c>
      <c r="T37" s="1048"/>
      <c r="U37" s="1049"/>
      <c r="V37" s="60" t="s">
        <v>2224</v>
      </c>
      <c r="W37" s="427">
        <v>0</v>
      </c>
      <c r="X37" s="60" t="s">
        <v>2250</v>
      </c>
      <c r="Y37" s="355">
        <v>0</v>
      </c>
      <c r="AA37" s="255" t="s">
        <v>1073</v>
      </c>
      <c r="AB37" s="12" t="b">
        <f>s055.00553=s055.00549+s055.00550+s055.00552</f>
        <v>1</v>
      </c>
    </row>
    <row r="38" spans="1:28" s="43" customFormat="1" ht="11.25">
      <c r="A38" s="70" t="s">
        <v>2034</v>
      </c>
      <c r="B38" s="70"/>
      <c r="C38" s="70"/>
      <c r="D38" s="70"/>
      <c r="E38" s="70"/>
      <c r="F38" s="70"/>
      <c r="G38" s="70"/>
      <c r="H38" s="70"/>
      <c r="I38" s="70"/>
      <c r="J38" s="184" t="s">
        <v>742</v>
      </c>
      <c r="K38" s="349">
        <v>43326</v>
      </c>
      <c r="L38" s="184" t="s">
        <v>266</v>
      </c>
      <c r="M38" s="1042">
        <v>435920000</v>
      </c>
      <c r="N38" s="1043"/>
      <c r="O38" s="1044"/>
      <c r="P38" s="184" t="s">
        <v>777</v>
      </c>
      <c r="Q38" s="349">
        <v>48670</v>
      </c>
      <c r="R38" s="184" t="s">
        <v>818</v>
      </c>
      <c r="S38" s="1042">
        <v>526205000</v>
      </c>
      <c r="T38" s="1043"/>
      <c r="U38" s="1044"/>
      <c r="V38" s="184" t="s">
        <v>2225</v>
      </c>
      <c r="W38" s="349">
        <v>127297</v>
      </c>
      <c r="X38" s="184" t="s">
        <v>2251</v>
      </c>
      <c r="Y38" s="350">
        <v>1000000000</v>
      </c>
      <c r="AA38" s="642" t="s">
        <v>2136</v>
      </c>
      <c r="AB38" s="516" t="b">
        <f>s055.00576=s055.00571+s055.00572+s055.00573+s055.00574+s055.00575</f>
        <v>1</v>
      </c>
    </row>
    <row r="39" spans="1:28" ht="11.25">
      <c r="A39" s="555" t="s">
        <v>1508</v>
      </c>
      <c r="B39" s="267"/>
      <c r="C39" s="267"/>
      <c r="D39" s="267"/>
      <c r="E39" s="267"/>
      <c r="F39" s="267"/>
      <c r="G39" s="267"/>
      <c r="H39" s="267"/>
      <c r="I39" s="267"/>
      <c r="J39" s="399"/>
      <c r="K39" s="267"/>
      <c r="L39" s="399"/>
      <c r="M39" s="267"/>
      <c r="N39" s="267"/>
      <c r="O39" s="267"/>
      <c r="P39" s="399"/>
      <c r="Q39" s="267"/>
      <c r="R39" s="399"/>
      <c r="S39" s="267"/>
      <c r="T39" s="267"/>
      <c r="U39" s="267"/>
      <c r="V39" s="399"/>
      <c r="W39" s="267"/>
      <c r="X39" s="399"/>
      <c r="Y39" s="552"/>
      <c r="AA39" s="255" t="s">
        <v>2137</v>
      </c>
      <c r="AB39" s="12" t="b">
        <f>s055.00588=s055.00583+s055.00584+s055.00585+s055.00586+s055.00587</f>
        <v>1</v>
      </c>
    </row>
    <row r="40" spans="1:28" ht="11.25">
      <c r="A40" s="553"/>
      <c r="B40" s="535"/>
      <c r="C40" s="535"/>
      <c r="D40" s="218"/>
      <c r="E40" s="218"/>
      <c r="F40" s="218"/>
      <c r="G40" s="218"/>
      <c r="H40" s="218"/>
      <c r="I40" s="218"/>
      <c r="J40" s="401"/>
      <c r="K40" s="218"/>
      <c r="L40" s="401"/>
      <c r="M40" s="218"/>
      <c r="N40" s="218"/>
      <c r="O40" s="218"/>
      <c r="P40" s="401"/>
      <c r="Q40" s="218"/>
      <c r="R40" s="401"/>
      <c r="S40" s="218"/>
      <c r="T40" s="218"/>
      <c r="U40" s="218"/>
      <c r="V40" s="401"/>
      <c r="W40" s="218"/>
      <c r="X40" s="401"/>
      <c r="Y40" s="219"/>
      <c r="AA40" s="255" t="s">
        <v>2138</v>
      </c>
      <c r="AB40" s="12" t="b">
        <f>s055.00605=s055.00600+s055.00601+s055.00602+s055.00603+s055.00604</f>
        <v>1</v>
      </c>
    </row>
    <row r="41" spans="1:28" ht="11.25">
      <c r="A41" s="563"/>
      <c r="B41" s="270"/>
      <c r="C41" s="270"/>
      <c r="D41" s="621"/>
      <c r="E41" s="621"/>
      <c r="F41" s="621"/>
      <c r="G41" s="621"/>
      <c r="H41" s="621"/>
      <c r="I41" s="621"/>
      <c r="J41" s="621"/>
      <c r="K41" s="621"/>
      <c r="L41" s="621"/>
      <c r="M41" s="621"/>
      <c r="N41" s="621"/>
      <c r="O41" s="621"/>
      <c r="P41" s="621"/>
      <c r="Q41" s="621"/>
      <c r="R41" s="621"/>
      <c r="S41" s="270"/>
      <c r="T41" s="270"/>
      <c r="U41" s="270"/>
      <c r="V41" s="270"/>
      <c r="W41" s="270"/>
      <c r="X41" s="270"/>
      <c r="Y41" s="271"/>
      <c r="AA41" s="255" t="s">
        <v>2139</v>
      </c>
      <c r="AB41" s="12" t="b">
        <f>s055.00616=s055.00611+s055.00612+s055.00613+s055.00614+s055.00615</f>
        <v>1</v>
      </c>
    </row>
    <row r="42" spans="1:28" s="7" customFormat="1" ht="11.25">
      <c r="A42" s="53" t="s">
        <v>1658</v>
      </c>
      <c r="B42" s="73"/>
      <c r="C42" s="73"/>
      <c r="D42" s="54"/>
      <c r="E42" s="843" t="s">
        <v>1506</v>
      </c>
      <c r="F42" s="843"/>
      <c r="G42" s="843"/>
      <c r="H42" s="843"/>
      <c r="I42" s="843"/>
      <c r="J42" s="843"/>
      <c r="K42" s="54"/>
      <c r="L42" s="843" t="s">
        <v>878</v>
      </c>
      <c r="M42" s="843"/>
      <c r="N42" s="843"/>
      <c r="O42" s="843"/>
      <c r="P42" s="843"/>
      <c r="Q42" s="843"/>
      <c r="R42" s="55"/>
      <c r="S42" s="54"/>
      <c r="T42" s="843" t="s">
        <v>1670</v>
      </c>
      <c r="U42" s="843"/>
      <c r="V42" s="843"/>
      <c r="W42" s="843"/>
      <c r="X42" s="843"/>
      <c r="Y42" s="856"/>
      <c r="AA42" s="255" t="s">
        <v>1138</v>
      </c>
      <c r="AB42" s="12" t="b">
        <f>s055.00625=s055.00620+s055.00621+s055.00622+s055.00623+s055.00624</f>
        <v>1</v>
      </c>
    </row>
    <row r="43" spans="1:28" ht="11.25">
      <c r="A43" s="56" t="s">
        <v>907</v>
      </c>
      <c r="B43" s="103"/>
      <c r="C43" s="103"/>
      <c r="D43" s="57"/>
      <c r="E43" s="795" t="s">
        <v>2383</v>
      </c>
      <c r="F43" s="795"/>
      <c r="G43" s="795" t="s">
        <v>875</v>
      </c>
      <c r="H43" s="795"/>
      <c r="I43" s="795" t="s">
        <v>876</v>
      </c>
      <c r="J43" s="795"/>
      <c r="K43" s="57"/>
      <c r="L43" s="795" t="s">
        <v>2383</v>
      </c>
      <c r="M43" s="795"/>
      <c r="N43" s="795" t="s">
        <v>875</v>
      </c>
      <c r="O43" s="795"/>
      <c r="P43" s="795" t="s">
        <v>876</v>
      </c>
      <c r="Q43" s="795"/>
      <c r="R43" s="58"/>
      <c r="S43" s="57"/>
      <c r="T43" s="795" t="s">
        <v>2383</v>
      </c>
      <c r="U43" s="795"/>
      <c r="V43" s="795" t="s">
        <v>875</v>
      </c>
      <c r="W43" s="795"/>
      <c r="X43" s="795" t="s">
        <v>876</v>
      </c>
      <c r="Y43" s="841"/>
      <c r="Z43" s="59"/>
      <c r="AA43" s="255" t="s">
        <v>1139</v>
      </c>
      <c r="AB43" s="12" t="b">
        <f>s055.00636=s055.00631+s055.00632+s055.00633+s055.00634+s055.00635</f>
        <v>1</v>
      </c>
    </row>
    <row r="44" spans="1:28" s="43" customFormat="1" ht="11.25">
      <c r="A44" s="77" t="s">
        <v>1653</v>
      </c>
      <c r="B44" s="77"/>
      <c r="C44" s="77"/>
      <c r="D44" s="60" t="s">
        <v>214</v>
      </c>
      <c r="E44" s="337">
        <v>43326</v>
      </c>
      <c r="F44" s="68" t="s">
        <v>220</v>
      </c>
      <c r="G44" s="337">
        <v>435920000</v>
      </c>
      <c r="H44" s="60" t="s">
        <v>223</v>
      </c>
      <c r="I44" s="996">
        <v>435920000</v>
      </c>
      <c r="J44" s="997"/>
      <c r="K44" s="998"/>
      <c r="L44" s="60" t="s">
        <v>1133</v>
      </c>
      <c r="M44" s="337">
        <v>48670</v>
      </c>
      <c r="N44" s="60" t="s">
        <v>2257</v>
      </c>
      <c r="O44" s="337">
        <v>526205000</v>
      </c>
      <c r="P44" s="60" t="s">
        <v>1594</v>
      </c>
      <c r="Q44" s="337">
        <v>526205000</v>
      </c>
      <c r="R44" s="670"/>
      <c r="S44" s="34"/>
      <c r="T44" s="60" t="s">
        <v>279</v>
      </c>
      <c r="U44" s="337">
        <v>127297</v>
      </c>
      <c r="V44" s="60" t="s">
        <v>1015</v>
      </c>
      <c r="W44" s="337">
        <v>1000000000</v>
      </c>
      <c r="X44" s="60" t="s">
        <v>1598</v>
      </c>
      <c r="Y44" s="348">
        <v>1000000000</v>
      </c>
      <c r="AA44" s="255" t="s">
        <v>1140</v>
      </c>
      <c r="AB44" s="12" t="b">
        <f>s055.01108=s055.01100+s055.01101+s055.01102+s055.01103+s055.01104+s055.01105+s055.01106+s055.01107</f>
        <v>1</v>
      </c>
    </row>
    <row r="45" spans="1:28" s="43" customFormat="1" ht="11.25">
      <c r="A45" s="77" t="s">
        <v>1617</v>
      </c>
      <c r="B45" s="77"/>
      <c r="C45" s="77"/>
      <c r="D45" s="60" t="s">
        <v>215</v>
      </c>
      <c r="E45" s="337"/>
      <c r="F45" s="60" t="s">
        <v>221</v>
      </c>
      <c r="G45" s="337"/>
      <c r="H45" s="60" t="s">
        <v>224</v>
      </c>
      <c r="I45" s="993"/>
      <c r="J45" s="994"/>
      <c r="K45" s="995"/>
      <c r="L45" s="60" t="s">
        <v>2252</v>
      </c>
      <c r="M45" s="337"/>
      <c r="N45" s="60" t="s">
        <v>2258</v>
      </c>
      <c r="O45" s="337"/>
      <c r="P45" s="60" t="s">
        <v>1595</v>
      </c>
      <c r="Q45" s="337"/>
      <c r="R45" s="670"/>
      <c r="S45" s="34"/>
      <c r="T45" s="60" t="s">
        <v>1010</v>
      </c>
      <c r="U45" s="337"/>
      <c r="V45" s="60" t="s">
        <v>230</v>
      </c>
      <c r="W45" s="337"/>
      <c r="X45" s="60" t="s">
        <v>1599</v>
      </c>
      <c r="Y45" s="341"/>
      <c r="AA45" s="255" t="s">
        <v>1141</v>
      </c>
      <c r="AB45" s="12" t="b">
        <f>s055.01118=s055.01110+s055.01111+s055.01112+s055.01113+s055.01114+s055.01115+s055.01116+s055.01117</f>
        <v>1</v>
      </c>
    </row>
    <row r="46" spans="1:28" s="43" customFormat="1" ht="11.25">
      <c r="A46" s="77" t="s">
        <v>1652</v>
      </c>
      <c r="B46" s="77"/>
      <c r="C46" s="77"/>
      <c r="D46" s="60" t="s">
        <v>216</v>
      </c>
      <c r="E46" s="337"/>
      <c r="F46" s="60" t="s">
        <v>458</v>
      </c>
      <c r="G46" s="337"/>
      <c r="H46" s="60" t="s">
        <v>225</v>
      </c>
      <c r="I46" s="993"/>
      <c r="J46" s="994"/>
      <c r="K46" s="995"/>
      <c r="L46" s="60" t="s">
        <v>2253</v>
      </c>
      <c r="M46" s="337"/>
      <c r="N46" s="60" t="s">
        <v>2259</v>
      </c>
      <c r="O46" s="337"/>
      <c r="P46" s="60" t="s">
        <v>1596</v>
      </c>
      <c r="Q46" s="337"/>
      <c r="R46" s="670"/>
      <c r="S46" s="34"/>
      <c r="T46" s="60" t="s">
        <v>1011</v>
      </c>
      <c r="U46" s="337"/>
      <c r="V46" s="60" t="s">
        <v>231</v>
      </c>
      <c r="W46" s="337"/>
      <c r="X46" s="60" t="s">
        <v>1600</v>
      </c>
      <c r="Y46" s="341"/>
      <c r="AA46" s="255" t="s">
        <v>1142</v>
      </c>
      <c r="AB46" s="12" t="b">
        <f>s055.01128=s055.01120+s055.01121+s055.01122+s055.01123+s055.01124+s055.01125+s055.01126+s055.01127</f>
        <v>1</v>
      </c>
    </row>
    <row r="47" spans="1:28" s="43" customFormat="1" ht="11.25">
      <c r="A47" s="77" t="s">
        <v>1651</v>
      </c>
      <c r="B47" s="77"/>
      <c r="C47" s="77"/>
      <c r="D47" s="60" t="s">
        <v>217</v>
      </c>
      <c r="E47" s="337"/>
      <c r="F47" s="69" t="s">
        <v>222</v>
      </c>
      <c r="G47" s="337"/>
      <c r="H47" s="60" t="s">
        <v>226</v>
      </c>
      <c r="I47" s="993"/>
      <c r="J47" s="994"/>
      <c r="K47" s="995"/>
      <c r="L47" s="60" t="s">
        <v>2254</v>
      </c>
      <c r="M47" s="337"/>
      <c r="N47" s="60" t="s">
        <v>2260</v>
      </c>
      <c r="O47" s="337"/>
      <c r="P47" s="60" t="s">
        <v>1597</v>
      </c>
      <c r="Q47" s="337"/>
      <c r="R47" s="34"/>
      <c r="S47" s="34"/>
      <c r="T47" s="60" t="s">
        <v>1012</v>
      </c>
      <c r="U47" s="337"/>
      <c r="V47" s="60" t="s">
        <v>459</v>
      </c>
      <c r="W47" s="337"/>
      <c r="X47" s="60" t="s">
        <v>1601</v>
      </c>
      <c r="Y47" s="341"/>
      <c r="AA47" s="255" t="s">
        <v>1143</v>
      </c>
      <c r="AB47" s="12" t="b">
        <f>s055.01138=s055.01130+s055.01131+s055.01132+s055.01133+s055.01134+s055.01135+s055.01136+s055.01137</f>
        <v>1</v>
      </c>
    </row>
    <row r="48" spans="1:28" s="43" customFormat="1" ht="11.25">
      <c r="A48" s="77" t="s">
        <v>1654</v>
      </c>
      <c r="B48" s="77"/>
      <c r="C48" s="77"/>
      <c r="D48" s="60" t="s">
        <v>218</v>
      </c>
      <c r="E48" s="337"/>
      <c r="F48" s="309"/>
      <c r="G48" s="297"/>
      <c r="H48" s="60" t="s">
        <v>227</v>
      </c>
      <c r="I48" s="1018"/>
      <c r="J48" s="1019"/>
      <c r="K48" s="1020"/>
      <c r="L48" s="60" t="s">
        <v>2255</v>
      </c>
      <c r="M48" s="337"/>
      <c r="N48" s="308"/>
      <c r="O48" s="221"/>
      <c r="P48" s="60" t="s">
        <v>2261</v>
      </c>
      <c r="Q48" s="337"/>
      <c r="R48" s="34"/>
      <c r="S48" s="34"/>
      <c r="T48" s="60" t="s">
        <v>1013</v>
      </c>
      <c r="U48" s="337"/>
      <c r="V48" s="308"/>
      <c r="W48" s="297"/>
      <c r="X48" s="60" t="s">
        <v>1602</v>
      </c>
      <c r="Y48" s="341"/>
      <c r="AA48" s="255" t="s">
        <v>1144</v>
      </c>
      <c r="AB48" s="12" t="b">
        <f>s055.01148=s055.01140+s055.01141+s055.01142+s055.01143+s055.01144+s055.01145+s055.01146+s055.01147</f>
        <v>1</v>
      </c>
    </row>
    <row r="49" spans="1:28" s="43" customFormat="1" ht="11.25">
      <c r="A49" s="70" t="s">
        <v>48</v>
      </c>
      <c r="B49" s="70"/>
      <c r="C49" s="70"/>
      <c r="D49" s="184" t="s">
        <v>219</v>
      </c>
      <c r="E49" s="349">
        <v>43326</v>
      </c>
      <c r="F49" s="515"/>
      <c r="G49" s="297"/>
      <c r="H49" s="184" t="s">
        <v>228</v>
      </c>
      <c r="I49" s="1021">
        <v>435920000</v>
      </c>
      <c r="J49" s="1022"/>
      <c r="K49" s="1023"/>
      <c r="L49" s="184" t="s">
        <v>2256</v>
      </c>
      <c r="M49" s="349">
        <v>48670</v>
      </c>
      <c r="N49" s="515"/>
      <c r="O49" s="297"/>
      <c r="P49" s="184" t="s">
        <v>229</v>
      </c>
      <c r="Q49" s="349">
        <v>526205000</v>
      </c>
      <c r="R49" s="1006"/>
      <c r="S49" s="1007"/>
      <c r="T49" s="184" t="s">
        <v>1014</v>
      </c>
      <c r="U49" s="349">
        <v>127297</v>
      </c>
      <c r="V49" s="515"/>
      <c r="W49" s="297"/>
      <c r="X49" s="184" t="s">
        <v>1187</v>
      </c>
      <c r="Y49" s="350">
        <v>1000000000</v>
      </c>
      <c r="Z49" s="72"/>
      <c r="AA49" s="642" t="s">
        <v>1145</v>
      </c>
      <c r="AB49" s="516" t="b">
        <f>s055.01158=s055.01150+s055.01151+s055.01152+s055.01153+s055.01154+s055.01155+s055.01156+s055.01157</f>
        <v>1</v>
      </c>
    </row>
    <row r="50" spans="1:28" ht="11.25">
      <c r="A50" s="555" t="s">
        <v>983</v>
      </c>
      <c r="B50" s="267"/>
      <c r="C50" s="267"/>
      <c r="D50" s="267"/>
      <c r="E50" s="267"/>
      <c r="F50" s="267"/>
      <c r="G50" s="267"/>
      <c r="H50" s="267"/>
      <c r="I50" s="267"/>
      <c r="J50" s="399"/>
      <c r="K50" s="267"/>
      <c r="L50" s="399"/>
      <c r="M50" s="267"/>
      <c r="N50" s="267"/>
      <c r="O50" s="267"/>
      <c r="P50" s="399"/>
      <c r="Q50" s="623"/>
      <c r="R50" s="399"/>
      <c r="S50" s="267"/>
      <c r="T50" s="267"/>
      <c r="U50" s="267"/>
      <c r="V50" s="399"/>
      <c r="W50" s="267"/>
      <c r="X50" s="399"/>
      <c r="Y50" s="552"/>
      <c r="AA50" s="255" t="s">
        <v>574</v>
      </c>
      <c r="AB50" s="12" t="b">
        <f>s055.01405=ele_s055_01405</f>
        <v>1</v>
      </c>
    </row>
    <row r="51" spans="1:28" s="43" customFormat="1" ht="11.25">
      <c r="A51" s="624"/>
      <c r="B51" s="622"/>
      <c r="C51" s="622"/>
      <c r="D51" s="535"/>
      <c r="E51" s="535"/>
      <c r="F51" s="535"/>
      <c r="G51" s="535"/>
      <c r="H51" s="535"/>
      <c r="I51" s="535"/>
      <c r="J51" s="535"/>
      <c r="K51" s="535"/>
      <c r="L51" s="535"/>
      <c r="M51" s="535"/>
      <c r="N51" s="535"/>
      <c r="O51" s="535"/>
      <c r="P51" s="535"/>
      <c r="Q51" s="535"/>
      <c r="R51" s="535"/>
      <c r="S51" s="535"/>
      <c r="T51" s="535"/>
      <c r="U51" s="535"/>
      <c r="V51" s="535"/>
      <c r="W51" s="535"/>
      <c r="X51" s="535"/>
      <c r="Y51" s="625"/>
      <c r="AA51" s="255" t="s">
        <v>575</v>
      </c>
      <c r="AB51" s="12" t="b">
        <f>s055.01415=ele_s055_01415</f>
        <v>1</v>
      </c>
    </row>
    <row r="52" spans="1:28" s="43" customFormat="1" ht="11.25">
      <c r="A52" s="557"/>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626"/>
      <c r="AA52" s="256" t="s">
        <v>1146</v>
      </c>
      <c r="AB52" s="12" t="b">
        <f>s055.01520=s055.01500+s055.01501+s055.01502+s055.01503+s055.01504+s055.01505+s055.01506+s055.01507+s055.01508+s055.01509+s055.01510+s055.01511+s055.01512+s055.01513+s055.01514+s055.01515+s055.01516+s055.01517+s055.01518+s055.01519</f>
        <v>1</v>
      </c>
    </row>
    <row r="53" spans="1:28" s="43" customFormat="1" ht="11.25">
      <c r="A53" s="53"/>
      <c r="B53" s="73"/>
      <c r="C53" s="73"/>
      <c r="D53" s="73"/>
      <c r="E53" s="73"/>
      <c r="F53" s="73"/>
      <c r="G53" s="73"/>
      <c r="H53" s="73"/>
      <c r="I53" s="73"/>
      <c r="J53" s="73"/>
      <c r="K53" s="73"/>
      <c r="L53" s="73"/>
      <c r="M53" s="73"/>
      <c r="N53" s="73"/>
      <c r="O53" s="73"/>
      <c r="P53" s="814" t="s">
        <v>878</v>
      </c>
      <c r="Q53" s="814"/>
      <c r="R53" s="814"/>
      <c r="S53" s="814"/>
      <c r="T53" s="73"/>
      <c r="U53" s="73"/>
      <c r="V53" s="73"/>
      <c r="W53" s="73"/>
      <c r="X53" s="73"/>
      <c r="Y53" s="75"/>
      <c r="AA53" s="256" t="s">
        <v>413</v>
      </c>
      <c r="AB53" s="12" t="b">
        <f>s055.01541=s055.01521+s055.01522+s055.01523+s055.01524+s055.01525+s055.01526+s055.01527+s055.01528+s055.01529+s055.01530+s055.01531+s055.01532+s055.01533+s055.01534+s055.01535+s055.01536+s055.01537+s055.01538+s055.01539+s055.01540</f>
        <v>1</v>
      </c>
    </row>
    <row r="54" spans="1:28" ht="11.25">
      <c r="A54" s="76" t="s">
        <v>1657</v>
      </c>
      <c r="B54" s="161"/>
      <c r="C54" s="161"/>
      <c r="D54" s="77"/>
      <c r="E54" s="77"/>
      <c r="F54" s="77"/>
      <c r="G54" s="77"/>
      <c r="H54" s="77"/>
      <c r="I54" s="77"/>
      <c r="J54" s="835" t="s">
        <v>1506</v>
      </c>
      <c r="K54" s="835"/>
      <c r="L54" s="835"/>
      <c r="M54" s="835"/>
      <c r="N54" s="79"/>
      <c r="O54" s="77"/>
      <c r="P54" s="810"/>
      <c r="Q54" s="810"/>
      <c r="R54" s="810"/>
      <c r="S54" s="810"/>
      <c r="T54" s="79"/>
      <c r="U54" s="77"/>
      <c r="V54" s="835" t="s">
        <v>1670</v>
      </c>
      <c r="W54" s="835"/>
      <c r="X54" s="835"/>
      <c r="Y54" s="840"/>
      <c r="AA54" s="256" t="s">
        <v>414</v>
      </c>
      <c r="AB54" s="12" t="b">
        <f>s055.01562=s055.01542+s055.01543+s055.01544+s055.01545+s055.01546+s055.01547+s055.01548+s055.01549+s055.01550+s055.01551+s055.01552+s055.01553+s055.01554+s055.01555+s055.01556+s055.01557+s055.01558+s055.01559+s055.01560+s055.01561</f>
        <v>1</v>
      </c>
    </row>
    <row r="55" spans="1:28" ht="11.25">
      <c r="A55" s="81" t="s">
        <v>1618</v>
      </c>
      <c r="B55" s="82"/>
      <c r="C55" s="82"/>
      <c r="D55" s="82"/>
      <c r="E55" s="83"/>
      <c r="F55" s="83"/>
      <c r="G55" s="83"/>
      <c r="H55" s="83"/>
      <c r="I55" s="83"/>
      <c r="J55" s="795" t="s">
        <v>2383</v>
      </c>
      <c r="K55" s="795"/>
      <c r="L55" s="810" t="s">
        <v>49</v>
      </c>
      <c r="M55" s="810"/>
      <c r="N55" s="58"/>
      <c r="O55" s="57"/>
      <c r="P55" s="810" t="s">
        <v>2383</v>
      </c>
      <c r="Q55" s="810"/>
      <c r="R55" s="810" t="s">
        <v>49</v>
      </c>
      <c r="S55" s="810"/>
      <c r="T55" s="58"/>
      <c r="U55" s="57"/>
      <c r="V55" s="810" t="s">
        <v>2383</v>
      </c>
      <c r="W55" s="810"/>
      <c r="X55" s="810" t="s">
        <v>49</v>
      </c>
      <c r="Y55" s="811"/>
      <c r="Z55" s="59"/>
      <c r="AA55" s="256" t="s">
        <v>415</v>
      </c>
      <c r="AB55" s="12" t="b">
        <f>s055.01583=s055.01563+s055.01564+s055.01565+s055.01566+s055.01567+s055.01568+s055.01569+s055.01570+s055.01571+s055.01572+s055.01573+s055.01574+s055.01575+s055.01576+s055.01577+s055.01578+s055.01579+s055.01580+s055.01581+s055.01582</f>
        <v>1</v>
      </c>
    </row>
    <row r="56" spans="1:28" ht="11.25">
      <c r="A56" s="299" t="s">
        <v>1276</v>
      </c>
      <c r="B56" s="299"/>
      <c r="C56" s="299"/>
      <c r="D56" s="300"/>
      <c r="E56" s="300"/>
      <c r="F56" s="300"/>
      <c r="G56" s="300"/>
      <c r="H56" s="300"/>
      <c r="I56" s="300"/>
      <c r="J56" s="60" t="s">
        <v>320</v>
      </c>
      <c r="K56" s="680"/>
      <c r="L56" s="60" t="s">
        <v>627</v>
      </c>
      <c r="M56" s="1030"/>
      <c r="N56" s="1031"/>
      <c r="O56" s="1032"/>
      <c r="P56" s="60" t="s">
        <v>2045</v>
      </c>
      <c r="Q56" s="680">
        <v>48670</v>
      </c>
      <c r="R56" s="60" t="s">
        <v>2046</v>
      </c>
      <c r="S56" s="1000">
        <v>526206000</v>
      </c>
      <c r="T56" s="1001"/>
      <c r="U56" s="1002"/>
      <c r="V56" s="60" t="s">
        <v>2063</v>
      </c>
      <c r="W56" s="427">
        <v>127297</v>
      </c>
      <c r="X56" s="60" t="s">
        <v>2064</v>
      </c>
      <c r="Y56" s="679">
        <v>1000000000</v>
      </c>
      <c r="AA56" s="256" t="s">
        <v>1218</v>
      </c>
      <c r="AB56" s="12" t="b">
        <f>s055.01604=s055.01584+s055.01585+s055.01586+s055.01587+s055.01588+s055.01589+s055.01590+s055.01591+s055.01592+s055.01593+s055.01594+s055.01595+s055.01596+s055.01597+s055.01598+s055.01599+s055.01600+s055.01601+s055.01602+s055.01603</f>
        <v>1</v>
      </c>
    </row>
    <row r="57" spans="1:28" ht="11.25">
      <c r="A57" s="299" t="s">
        <v>1277</v>
      </c>
      <c r="B57" s="299"/>
      <c r="C57" s="299"/>
      <c r="D57" s="300"/>
      <c r="E57" s="300"/>
      <c r="F57" s="300"/>
      <c r="G57" s="300"/>
      <c r="H57" s="300"/>
      <c r="I57" s="300"/>
      <c r="J57" s="60" t="s">
        <v>319</v>
      </c>
      <c r="K57" s="680"/>
      <c r="L57" s="60" t="s">
        <v>2037</v>
      </c>
      <c r="M57" s="1033"/>
      <c r="N57" s="1034"/>
      <c r="O57" s="1035"/>
      <c r="P57" s="60" t="s">
        <v>2047</v>
      </c>
      <c r="Q57" s="680">
        <v>0</v>
      </c>
      <c r="R57" s="60" t="s">
        <v>2055</v>
      </c>
      <c r="S57" s="1003">
        <v>0</v>
      </c>
      <c r="T57" s="1004"/>
      <c r="U57" s="1005"/>
      <c r="V57" s="60" t="s">
        <v>2065</v>
      </c>
      <c r="W57" s="427">
        <v>0</v>
      </c>
      <c r="X57" s="60" t="s">
        <v>2073</v>
      </c>
      <c r="Y57" s="351">
        <v>0</v>
      </c>
      <c r="AA57" s="256" t="s">
        <v>1219</v>
      </c>
      <c r="AB57" s="12" t="b">
        <f>s055.01625=s055.01605+s055.01606+s055.01607+s055.01608+s055.01609+s055.01610+s055.01611+s055.01612+s055.01613+s055.01614+s055.01615+s055.01616+s055.01617+s055.01618+s055.01619+s055.01620+s055.01621+s055.01622+s055.01623+s055.01624</f>
        <v>1</v>
      </c>
    </row>
    <row r="58" spans="1:28" ht="11.25">
      <c r="A58" s="299" t="s">
        <v>1278</v>
      </c>
      <c r="B58" s="299"/>
      <c r="C58" s="299"/>
      <c r="D58" s="300"/>
      <c r="E58" s="300"/>
      <c r="F58" s="300"/>
      <c r="G58" s="300"/>
      <c r="H58" s="300"/>
      <c r="I58" s="300"/>
      <c r="J58" s="60" t="s">
        <v>321</v>
      </c>
      <c r="K58" s="680"/>
      <c r="L58" s="60" t="s">
        <v>2038</v>
      </c>
      <c r="M58" s="1033"/>
      <c r="N58" s="1034"/>
      <c r="O58" s="1035"/>
      <c r="P58" s="60" t="s">
        <v>2048</v>
      </c>
      <c r="Q58" s="680">
        <v>0</v>
      </c>
      <c r="R58" s="60" t="s">
        <v>2056</v>
      </c>
      <c r="S58" s="1003">
        <v>0</v>
      </c>
      <c r="T58" s="1004"/>
      <c r="U58" s="1005"/>
      <c r="V58" s="60" t="s">
        <v>2066</v>
      </c>
      <c r="W58" s="427">
        <v>0</v>
      </c>
      <c r="X58" s="60" t="s">
        <v>2074</v>
      </c>
      <c r="Y58" s="351">
        <v>0</v>
      </c>
      <c r="AA58" s="255" t="s">
        <v>1220</v>
      </c>
      <c r="AB58" s="12" t="b">
        <f>s055.03050=s055.03000+s055.03010+s055.03020+s055.03030+s055.03040</f>
        <v>1</v>
      </c>
    </row>
    <row r="59" spans="1:28" ht="11.25">
      <c r="A59" s="299" t="s">
        <v>1279</v>
      </c>
      <c r="B59" s="299"/>
      <c r="C59" s="299"/>
      <c r="D59" s="300"/>
      <c r="E59" s="300"/>
      <c r="F59" s="300"/>
      <c r="G59" s="300"/>
      <c r="H59" s="300"/>
      <c r="I59" s="300"/>
      <c r="J59" s="60" t="s">
        <v>322</v>
      </c>
      <c r="K59" s="680"/>
      <c r="L59" s="60" t="s">
        <v>2039</v>
      </c>
      <c r="M59" s="1033"/>
      <c r="N59" s="1034"/>
      <c r="O59" s="1035"/>
      <c r="P59" s="60" t="s">
        <v>2049</v>
      </c>
      <c r="Q59" s="680">
        <v>0</v>
      </c>
      <c r="R59" s="60" t="s">
        <v>2057</v>
      </c>
      <c r="S59" s="1003">
        <v>0</v>
      </c>
      <c r="T59" s="1004"/>
      <c r="U59" s="1005"/>
      <c r="V59" s="60" t="s">
        <v>2067</v>
      </c>
      <c r="W59" s="427">
        <v>0</v>
      </c>
      <c r="X59" s="60" t="s">
        <v>2075</v>
      </c>
      <c r="Y59" s="351">
        <v>0</v>
      </c>
      <c r="AA59" s="255" t="s">
        <v>1221</v>
      </c>
      <c r="AB59" s="12" t="b">
        <f>s055.03160=s055.03110+s055.03120+s055.03130+s055.03140+s055.03150</f>
        <v>1</v>
      </c>
    </row>
    <row r="60" spans="1:28" ht="11.25">
      <c r="A60" s="299" t="s">
        <v>1665</v>
      </c>
      <c r="B60" s="299"/>
      <c r="C60" s="299"/>
      <c r="D60" s="300"/>
      <c r="E60" s="300"/>
      <c r="F60" s="300"/>
      <c r="G60" s="300"/>
      <c r="H60" s="300"/>
      <c r="I60" s="300"/>
      <c r="J60" s="60" t="s">
        <v>323</v>
      </c>
      <c r="K60" s="680"/>
      <c r="L60" s="60" t="s">
        <v>2040</v>
      </c>
      <c r="M60" s="1033"/>
      <c r="N60" s="1034"/>
      <c r="O60" s="1035"/>
      <c r="P60" s="60" t="s">
        <v>2050</v>
      </c>
      <c r="Q60" s="680">
        <v>0</v>
      </c>
      <c r="R60" s="60" t="s">
        <v>2058</v>
      </c>
      <c r="S60" s="1003">
        <v>0</v>
      </c>
      <c r="T60" s="1004"/>
      <c r="U60" s="1005"/>
      <c r="V60" s="60" t="s">
        <v>2068</v>
      </c>
      <c r="W60" s="427">
        <v>0</v>
      </c>
      <c r="X60" s="60" t="s">
        <v>2076</v>
      </c>
      <c r="Y60" s="351">
        <v>0</v>
      </c>
      <c r="AA60" s="255" t="s">
        <v>1222</v>
      </c>
      <c r="AB60" s="12" t="b">
        <f>s055.03220=s055.03170+s055.03180+s055.03190+s055.03200+s055.03210</f>
        <v>1</v>
      </c>
    </row>
    <row r="61" spans="1:28" ht="11.25">
      <c r="A61" s="299" t="s">
        <v>1666</v>
      </c>
      <c r="B61" s="299"/>
      <c r="C61" s="299"/>
      <c r="D61" s="300"/>
      <c r="E61" s="300"/>
      <c r="F61" s="300"/>
      <c r="G61" s="300"/>
      <c r="H61" s="300"/>
      <c r="I61" s="300"/>
      <c r="J61" s="60" t="s">
        <v>324</v>
      </c>
      <c r="K61" s="680"/>
      <c r="L61" s="60" t="s">
        <v>2041</v>
      </c>
      <c r="M61" s="1033"/>
      <c r="N61" s="1034"/>
      <c r="O61" s="1035"/>
      <c r="P61" s="60" t="s">
        <v>2051</v>
      </c>
      <c r="Q61" s="680">
        <v>0</v>
      </c>
      <c r="R61" s="60" t="s">
        <v>2059</v>
      </c>
      <c r="S61" s="1003">
        <v>0</v>
      </c>
      <c r="T61" s="1004"/>
      <c r="U61" s="1005"/>
      <c r="V61" s="60" t="s">
        <v>2069</v>
      </c>
      <c r="W61" s="427">
        <v>0</v>
      </c>
      <c r="X61" s="60" t="s">
        <v>2077</v>
      </c>
      <c r="Y61" s="351">
        <v>0</v>
      </c>
      <c r="AA61" s="255" t="s">
        <v>1223</v>
      </c>
      <c r="AB61" s="12" t="b">
        <f>s055.03300=s055.03250+s055.03260+s055.03270+s055.03280+s055.03290</f>
        <v>1</v>
      </c>
    </row>
    <row r="62" spans="1:25" ht="11.25">
      <c r="A62" s="299" t="s">
        <v>1667</v>
      </c>
      <c r="B62" s="299"/>
      <c r="C62" s="299"/>
      <c r="D62" s="300"/>
      <c r="E62" s="300"/>
      <c r="F62" s="300"/>
      <c r="G62" s="300"/>
      <c r="H62" s="300"/>
      <c r="I62" s="300"/>
      <c r="J62" s="60" t="s">
        <v>325</v>
      </c>
      <c r="K62" s="680"/>
      <c r="L62" s="60" t="s">
        <v>2042</v>
      </c>
      <c r="M62" s="1033"/>
      <c r="N62" s="1034"/>
      <c r="O62" s="1035"/>
      <c r="P62" s="60" t="s">
        <v>2052</v>
      </c>
      <c r="Q62" s="680">
        <v>0</v>
      </c>
      <c r="R62" s="60" t="s">
        <v>2060</v>
      </c>
      <c r="S62" s="1003">
        <v>0</v>
      </c>
      <c r="T62" s="1004"/>
      <c r="U62" s="1005"/>
      <c r="V62" s="60" t="s">
        <v>2070</v>
      </c>
      <c r="W62" s="427">
        <v>0</v>
      </c>
      <c r="X62" s="60" t="s">
        <v>2078</v>
      </c>
      <c r="Y62" s="351">
        <v>0</v>
      </c>
    </row>
    <row r="63" spans="1:25" ht="11.25">
      <c r="A63" s="301" t="s">
        <v>1668</v>
      </c>
      <c r="B63" s="301"/>
      <c r="C63" s="301"/>
      <c r="D63" s="83"/>
      <c r="E63" s="83"/>
      <c r="F63" s="83"/>
      <c r="G63" s="83"/>
      <c r="H63" s="83"/>
      <c r="I63" s="83"/>
      <c r="J63" s="60" t="s">
        <v>326</v>
      </c>
      <c r="K63" s="681"/>
      <c r="L63" s="60" t="s">
        <v>2043</v>
      </c>
      <c r="M63" s="1063"/>
      <c r="N63" s="1064"/>
      <c r="O63" s="1065"/>
      <c r="P63" s="60" t="s">
        <v>2053</v>
      </c>
      <c r="Q63" s="681">
        <v>0</v>
      </c>
      <c r="R63" s="60" t="s">
        <v>2061</v>
      </c>
      <c r="S63" s="1053">
        <v>0</v>
      </c>
      <c r="T63" s="1048"/>
      <c r="U63" s="1049"/>
      <c r="V63" s="60" t="s">
        <v>2071</v>
      </c>
      <c r="W63" s="678">
        <v>0</v>
      </c>
      <c r="X63" s="60" t="s">
        <v>2079</v>
      </c>
      <c r="Y63" s="355">
        <v>0</v>
      </c>
    </row>
    <row r="64" spans="1:27" s="483" customFormat="1" ht="11.25">
      <c r="A64" s="162" t="s">
        <v>48</v>
      </c>
      <c r="B64" s="162"/>
      <c r="C64" s="162"/>
      <c r="D64" s="162"/>
      <c r="E64" s="514"/>
      <c r="F64" s="514"/>
      <c r="G64" s="514"/>
      <c r="H64" s="514"/>
      <c r="I64" s="514"/>
      <c r="J64" s="414" t="s">
        <v>327</v>
      </c>
      <c r="K64" s="450"/>
      <c r="L64" s="414" t="s">
        <v>2044</v>
      </c>
      <c r="M64" s="1012"/>
      <c r="N64" s="1013"/>
      <c r="O64" s="1014"/>
      <c r="P64" s="414" t="s">
        <v>2054</v>
      </c>
      <c r="Q64" s="450">
        <v>48670</v>
      </c>
      <c r="R64" s="414" t="s">
        <v>2062</v>
      </c>
      <c r="S64" s="1012">
        <v>526206000</v>
      </c>
      <c r="T64" s="1013"/>
      <c r="U64" s="1014"/>
      <c r="V64" s="414" t="s">
        <v>2072</v>
      </c>
      <c r="W64" s="450">
        <v>127297</v>
      </c>
      <c r="X64" s="414" t="s">
        <v>2080</v>
      </c>
      <c r="Y64" s="451">
        <v>1000000000</v>
      </c>
      <c r="AA64" s="643"/>
    </row>
    <row r="65" spans="1:27" s="483" customFormat="1" ht="11.25">
      <c r="A65" s="162" t="s">
        <v>2371</v>
      </c>
      <c r="B65" s="162"/>
      <c r="C65" s="162"/>
      <c r="D65" s="162"/>
      <c r="E65" s="514"/>
      <c r="F65" s="514"/>
      <c r="G65" s="514"/>
      <c r="H65" s="514"/>
      <c r="I65" s="514"/>
      <c r="J65" s="488"/>
      <c r="K65" s="489"/>
      <c r="L65" s="414" t="s">
        <v>2368</v>
      </c>
      <c r="M65" s="1036"/>
      <c r="N65" s="1037"/>
      <c r="O65" s="1038"/>
      <c r="P65" s="488"/>
      <c r="Q65" s="489"/>
      <c r="R65" s="414" t="s">
        <v>2369</v>
      </c>
      <c r="S65" s="1036">
        <v>0</v>
      </c>
      <c r="T65" s="1037"/>
      <c r="U65" s="1038"/>
      <c r="V65" s="488"/>
      <c r="W65" s="489"/>
      <c r="X65" s="414" t="s">
        <v>2370</v>
      </c>
      <c r="Y65" s="682">
        <v>0</v>
      </c>
      <c r="AA65" s="643"/>
    </row>
    <row r="66" spans="1:25" ht="11.25">
      <c r="A66" s="829" t="s">
        <v>879</v>
      </c>
      <c r="B66" s="830"/>
      <c r="C66" s="830"/>
      <c r="D66" s="830"/>
      <c r="E66" s="830"/>
      <c r="F66" s="830"/>
      <c r="G66" s="830"/>
      <c r="H66" s="830"/>
      <c r="I66" s="830"/>
      <c r="J66" s="830"/>
      <c r="K66" s="830"/>
      <c r="L66" s="830"/>
      <c r="M66" s="830"/>
      <c r="N66" s="830"/>
      <c r="O66" s="830"/>
      <c r="P66" s="830"/>
      <c r="Q66" s="830"/>
      <c r="R66" s="830"/>
      <c r="S66" s="830"/>
      <c r="T66" s="830"/>
      <c r="U66" s="830"/>
      <c r="V66" s="830"/>
      <c r="W66" s="830"/>
      <c r="X66" s="830"/>
      <c r="Y66" s="831"/>
    </row>
    <row r="67" spans="1:25" ht="11.25">
      <c r="A67" s="832"/>
      <c r="B67" s="833"/>
      <c r="C67" s="833"/>
      <c r="D67" s="833"/>
      <c r="E67" s="833"/>
      <c r="F67" s="833"/>
      <c r="G67" s="833"/>
      <c r="H67" s="833"/>
      <c r="I67" s="833"/>
      <c r="J67" s="833"/>
      <c r="K67" s="833"/>
      <c r="L67" s="833"/>
      <c r="M67" s="833"/>
      <c r="N67" s="833"/>
      <c r="O67" s="833"/>
      <c r="P67" s="833"/>
      <c r="Q67" s="833"/>
      <c r="R67" s="833"/>
      <c r="S67" s="833"/>
      <c r="T67" s="833"/>
      <c r="U67" s="833"/>
      <c r="V67" s="833"/>
      <c r="W67" s="833"/>
      <c r="X67" s="833"/>
      <c r="Y67" s="834"/>
    </row>
    <row r="68" spans="1:25" ht="11.25">
      <c r="A68" s="628"/>
      <c r="B68" s="629"/>
      <c r="C68" s="629"/>
      <c r="D68" s="630"/>
      <c r="E68" s="630"/>
      <c r="F68" s="630"/>
      <c r="G68" s="630"/>
      <c r="H68" s="630"/>
      <c r="I68" s="630"/>
      <c r="J68" s="630"/>
      <c r="K68" s="630"/>
      <c r="L68" s="630"/>
      <c r="M68" s="630"/>
      <c r="N68" s="630"/>
      <c r="O68" s="630"/>
      <c r="P68" s="630"/>
      <c r="Q68" s="630"/>
      <c r="R68" s="630"/>
      <c r="S68" s="630"/>
      <c r="T68" s="630"/>
      <c r="U68" s="630"/>
      <c r="V68" s="630"/>
      <c r="W68" s="630"/>
      <c r="X68" s="630"/>
      <c r="Y68" s="271"/>
    </row>
    <row r="69" spans="1:33" ht="11.25">
      <c r="A69" s="1009" t="s">
        <v>1655</v>
      </c>
      <c r="B69" s="1010"/>
      <c r="C69" s="1010"/>
      <c r="D69" s="1010"/>
      <c r="E69" s="1010"/>
      <c r="F69" s="1010"/>
      <c r="G69" s="1010"/>
      <c r="H69" s="1010"/>
      <c r="I69" s="1010"/>
      <c r="J69" s="1010"/>
      <c r="K69" s="1010"/>
      <c r="L69" s="1011"/>
      <c r="M69" s="836" t="s">
        <v>2373</v>
      </c>
      <c r="N69" s="814"/>
      <c r="O69" s="814"/>
      <c r="P69" s="844"/>
      <c r="Q69" s="836" t="s">
        <v>2374</v>
      </c>
      <c r="R69" s="814"/>
      <c r="S69" s="844"/>
      <c r="T69" s="836" t="s">
        <v>2372</v>
      </c>
      <c r="U69" s="814"/>
      <c r="V69" s="814"/>
      <c r="W69" s="844"/>
      <c r="X69" s="999" t="s">
        <v>2474</v>
      </c>
      <c r="Y69" s="999"/>
      <c r="Z69" s="88"/>
      <c r="AC69" s="842"/>
      <c r="AD69" s="88"/>
      <c r="AG69" s="842"/>
    </row>
    <row r="70" spans="1:33" ht="11.25">
      <c r="A70" s="1024" t="s">
        <v>1699</v>
      </c>
      <c r="B70" s="1025"/>
      <c r="C70" s="1025"/>
      <c r="D70" s="1025"/>
      <c r="E70" s="1025"/>
      <c r="F70" s="1025"/>
      <c r="G70" s="1025"/>
      <c r="H70" s="1025"/>
      <c r="I70" s="1025"/>
      <c r="J70" s="1025"/>
      <c r="K70" s="1025"/>
      <c r="L70" s="1026"/>
      <c r="M70" s="1015"/>
      <c r="N70" s="808"/>
      <c r="O70" s="808"/>
      <c r="P70" s="809"/>
      <c r="Q70" s="1015"/>
      <c r="R70" s="808"/>
      <c r="S70" s="809"/>
      <c r="T70" s="1015"/>
      <c r="U70" s="808"/>
      <c r="V70" s="808"/>
      <c r="W70" s="809"/>
      <c r="X70" s="999"/>
      <c r="Y70" s="999"/>
      <c r="Z70" s="88"/>
      <c r="AC70" s="842"/>
      <c r="AD70" s="88"/>
      <c r="AG70" s="842"/>
    </row>
    <row r="71" spans="1:33" ht="32.25" customHeight="1">
      <c r="A71" s="1027"/>
      <c r="B71" s="1028"/>
      <c r="C71" s="1028"/>
      <c r="D71" s="1028"/>
      <c r="E71" s="1028"/>
      <c r="F71" s="1028"/>
      <c r="G71" s="1028"/>
      <c r="H71" s="1028"/>
      <c r="I71" s="1028"/>
      <c r="J71" s="1028"/>
      <c r="K71" s="1028"/>
      <c r="L71" s="1029"/>
      <c r="M71" s="1016"/>
      <c r="N71" s="810"/>
      <c r="O71" s="810"/>
      <c r="P71" s="811"/>
      <c r="Q71" s="1016"/>
      <c r="R71" s="810"/>
      <c r="S71" s="811"/>
      <c r="T71" s="1016"/>
      <c r="U71" s="810"/>
      <c r="V71" s="810"/>
      <c r="W71" s="811"/>
      <c r="X71" s="999"/>
      <c r="Y71" s="999"/>
      <c r="Z71" s="90"/>
      <c r="AC71" s="842"/>
      <c r="AD71" s="88"/>
      <c r="AG71" s="842"/>
    </row>
    <row r="72" spans="1:33" ht="11.25">
      <c r="A72" s="1039">
        <v>1390</v>
      </c>
      <c r="B72" s="1040"/>
      <c r="C72" s="1040"/>
      <c r="D72" s="1040"/>
      <c r="E72" s="1040"/>
      <c r="F72" s="1040"/>
      <c r="G72" s="1040"/>
      <c r="H72" s="1040"/>
      <c r="I72" s="1040"/>
      <c r="J72" s="1040"/>
      <c r="K72" s="1040"/>
      <c r="L72" s="1041"/>
      <c r="M72" s="870" t="s">
        <v>361</v>
      </c>
      <c r="N72" s="884"/>
      <c r="O72" s="884"/>
      <c r="P72" s="871"/>
      <c r="Q72" s="870" t="s">
        <v>371</v>
      </c>
      <c r="R72" s="884"/>
      <c r="S72" s="871"/>
      <c r="T72" s="870" t="s">
        <v>1512</v>
      </c>
      <c r="U72" s="884"/>
      <c r="V72" s="884"/>
      <c r="W72" s="871"/>
      <c r="X72" s="870" t="s">
        <v>1513</v>
      </c>
      <c r="Y72" s="871"/>
      <c r="Z72" s="84"/>
      <c r="AC72" s="84"/>
      <c r="AD72" s="84"/>
      <c r="AG72" s="84"/>
    </row>
    <row r="73" spans="1:33" ht="12.75" customHeight="1">
      <c r="A73" s="1017" t="s">
        <v>2192</v>
      </c>
      <c r="B73" s="979"/>
      <c r="C73" s="979"/>
      <c r="D73" s="979"/>
      <c r="E73" s="979"/>
      <c r="F73" s="979"/>
      <c r="G73" s="979"/>
      <c r="H73" s="979"/>
      <c r="I73" s="979"/>
      <c r="J73" s="979"/>
      <c r="K73" s="979"/>
      <c r="L73" s="980"/>
      <c r="M73" s="220"/>
      <c r="N73" s="976">
        <v>15</v>
      </c>
      <c r="O73" s="977"/>
      <c r="P73" s="978"/>
      <c r="Q73" s="669"/>
      <c r="R73" s="974">
        <v>411000</v>
      </c>
      <c r="S73" s="975"/>
      <c r="T73" s="1079"/>
      <c r="U73" s="1080"/>
      <c r="V73" s="972">
        <v>0.74</v>
      </c>
      <c r="W73" s="973"/>
      <c r="X73" s="220"/>
      <c r="Y73" s="423">
        <v>0</v>
      </c>
      <c r="Z73" s="84"/>
      <c r="AC73" s="84"/>
      <c r="AD73" s="84"/>
      <c r="AG73" s="84"/>
    </row>
    <row r="74" spans="1:33" ht="12.75" customHeight="1">
      <c r="A74" s="979" t="s">
        <v>2193</v>
      </c>
      <c r="B74" s="979"/>
      <c r="C74" s="979"/>
      <c r="D74" s="979"/>
      <c r="E74" s="979"/>
      <c r="F74" s="979"/>
      <c r="G74" s="979"/>
      <c r="H74" s="979"/>
      <c r="I74" s="979"/>
      <c r="J74" s="979"/>
      <c r="K74" s="979"/>
      <c r="L74" s="980"/>
      <c r="M74" s="220"/>
      <c r="N74" s="976">
        <v>7</v>
      </c>
      <c r="O74" s="977"/>
      <c r="P74" s="978"/>
      <c r="Q74" s="693"/>
      <c r="R74" s="974">
        <v>283000</v>
      </c>
      <c r="S74" s="975"/>
      <c r="T74" s="688"/>
      <c r="U74" s="689"/>
      <c r="V74" s="972">
        <v>0.75</v>
      </c>
      <c r="W74" s="973"/>
      <c r="X74" s="378"/>
      <c r="Y74" s="423">
        <v>0</v>
      </c>
      <c r="Z74" s="84"/>
      <c r="AC74" s="84"/>
      <c r="AD74" s="84"/>
      <c r="AG74" s="84"/>
    </row>
    <row r="75" spans="1:33" ht="12.75" customHeight="1">
      <c r="A75" s="979" t="s">
        <v>2194</v>
      </c>
      <c r="B75" s="979"/>
      <c r="C75" s="979"/>
      <c r="D75" s="979"/>
      <c r="E75" s="979"/>
      <c r="F75" s="979"/>
      <c r="G75" s="979"/>
      <c r="H75" s="979"/>
      <c r="I75" s="979"/>
      <c r="J75" s="979"/>
      <c r="K75" s="979"/>
      <c r="L75" s="980"/>
      <c r="M75" s="220"/>
      <c r="N75" s="976">
        <v>7</v>
      </c>
      <c r="O75" s="977"/>
      <c r="P75" s="978"/>
      <c r="Q75" s="693"/>
      <c r="R75" s="974">
        <v>81000</v>
      </c>
      <c r="S75" s="975"/>
      <c r="T75" s="688"/>
      <c r="U75" s="689"/>
      <c r="V75" s="972">
        <v>0.75</v>
      </c>
      <c r="W75" s="973"/>
      <c r="X75" s="378"/>
      <c r="Y75" s="423">
        <v>0</v>
      </c>
      <c r="Z75" s="84"/>
      <c r="AC75" s="84"/>
      <c r="AD75" s="84"/>
      <c r="AG75" s="84"/>
    </row>
    <row r="76" spans="1:33" ht="12.75" customHeight="1">
      <c r="A76" s="979" t="s">
        <v>2195</v>
      </c>
      <c r="B76" s="979"/>
      <c r="C76" s="979"/>
      <c r="D76" s="979"/>
      <c r="E76" s="979"/>
      <c r="F76" s="979"/>
      <c r="G76" s="979"/>
      <c r="H76" s="979"/>
      <c r="I76" s="979"/>
      <c r="J76" s="979"/>
      <c r="K76" s="979"/>
      <c r="L76" s="980"/>
      <c r="M76" s="220"/>
      <c r="N76" s="976">
        <v>5</v>
      </c>
      <c r="O76" s="977"/>
      <c r="P76" s="978"/>
      <c r="Q76" s="693"/>
      <c r="R76" s="974">
        <v>84000</v>
      </c>
      <c r="S76" s="975"/>
      <c r="T76" s="688"/>
      <c r="U76" s="689"/>
      <c r="V76" s="972">
        <v>0.88</v>
      </c>
      <c r="W76" s="973"/>
      <c r="X76" s="378"/>
      <c r="Y76" s="423">
        <v>0</v>
      </c>
      <c r="Z76" s="84"/>
      <c r="AC76" s="84"/>
      <c r="AD76" s="84"/>
      <c r="AG76" s="84"/>
    </row>
    <row r="77" spans="1:33" ht="12.75" customHeight="1">
      <c r="A77" s="979" t="s">
        <v>2196</v>
      </c>
      <c r="B77" s="979"/>
      <c r="C77" s="979"/>
      <c r="D77" s="979"/>
      <c r="E77" s="979"/>
      <c r="F77" s="979"/>
      <c r="G77" s="979"/>
      <c r="H77" s="979"/>
      <c r="I77" s="979"/>
      <c r="J77" s="979"/>
      <c r="K77" s="979"/>
      <c r="L77" s="980"/>
      <c r="M77" s="220"/>
      <c r="N77" s="976">
        <v>6</v>
      </c>
      <c r="O77" s="977"/>
      <c r="P77" s="978"/>
      <c r="Q77" s="693"/>
      <c r="R77" s="974">
        <v>87000</v>
      </c>
      <c r="S77" s="975"/>
      <c r="T77" s="688"/>
      <c r="U77" s="689"/>
      <c r="V77" s="972">
        <v>1</v>
      </c>
      <c r="W77" s="973"/>
      <c r="X77" s="378"/>
      <c r="Y77" s="423">
        <v>0</v>
      </c>
      <c r="Z77" s="84"/>
      <c r="AC77" s="84"/>
      <c r="AD77" s="84"/>
      <c r="AG77" s="84"/>
    </row>
    <row r="78" spans="1:33" ht="12.75" customHeight="1">
      <c r="A78" s="979" t="s">
        <v>2197</v>
      </c>
      <c r="B78" s="979"/>
      <c r="C78" s="979"/>
      <c r="D78" s="979"/>
      <c r="E78" s="979"/>
      <c r="F78" s="979"/>
      <c r="G78" s="979"/>
      <c r="H78" s="979"/>
      <c r="I78" s="979"/>
      <c r="J78" s="979"/>
      <c r="K78" s="979"/>
      <c r="L78" s="980"/>
      <c r="M78" s="220"/>
      <c r="N78" s="976">
        <v>1</v>
      </c>
      <c r="O78" s="977"/>
      <c r="P78" s="978"/>
      <c r="Q78" s="693"/>
      <c r="R78" s="974">
        <v>20000</v>
      </c>
      <c r="S78" s="975"/>
      <c r="T78" s="688"/>
      <c r="U78" s="689"/>
      <c r="V78" s="972">
        <v>0.75</v>
      </c>
      <c r="W78" s="973"/>
      <c r="X78" s="378"/>
      <c r="Y78" s="423">
        <v>0</v>
      </c>
      <c r="Z78" s="84"/>
      <c r="AC78" s="84"/>
      <c r="AD78" s="84"/>
      <c r="AG78" s="84"/>
    </row>
    <row r="79" spans="1:33" ht="12.75" customHeight="1">
      <c r="A79" s="979" t="s">
        <v>2198</v>
      </c>
      <c r="B79" s="979"/>
      <c r="C79" s="979"/>
      <c r="D79" s="979"/>
      <c r="E79" s="979"/>
      <c r="F79" s="979"/>
      <c r="G79" s="979"/>
      <c r="H79" s="979"/>
      <c r="I79" s="979"/>
      <c r="J79" s="979"/>
      <c r="K79" s="979"/>
      <c r="L79" s="980"/>
      <c r="M79" s="220"/>
      <c r="N79" s="976">
        <v>2</v>
      </c>
      <c r="O79" s="977"/>
      <c r="P79" s="978"/>
      <c r="Q79" s="693"/>
      <c r="R79" s="974">
        <v>29000</v>
      </c>
      <c r="S79" s="975"/>
      <c r="T79" s="688"/>
      <c r="U79" s="689"/>
      <c r="V79" s="972">
        <v>0.75</v>
      </c>
      <c r="W79" s="973"/>
      <c r="X79" s="378"/>
      <c r="Y79" s="423">
        <v>0</v>
      </c>
      <c r="Z79" s="84"/>
      <c r="AC79" s="84"/>
      <c r="AD79" s="84"/>
      <c r="AG79" s="84"/>
    </row>
    <row r="80" spans="1:33" ht="12.75" customHeight="1">
      <c r="A80" s="979" t="s">
        <v>2199</v>
      </c>
      <c r="B80" s="979"/>
      <c r="C80" s="979"/>
      <c r="D80" s="979"/>
      <c r="E80" s="979"/>
      <c r="F80" s="979"/>
      <c r="G80" s="979"/>
      <c r="H80" s="979"/>
      <c r="I80" s="979"/>
      <c r="J80" s="979"/>
      <c r="K80" s="979"/>
      <c r="L80" s="980"/>
      <c r="M80" s="220"/>
      <c r="N80" s="976">
        <v>6</v>
      </c>
      <c r="O80" s="977"/>
      <c r="P80" s="978"/>
      <c r="Q80" s="693"/>
      <c r="R80" s="974">
        <v>87000</v>
      </c>
      <c r="S80" s="975"/>
      <c r="T80" s="688"/>
      <c r="U80" s="689"/>
      <c r="V80" s="972">
        <v>0.4</v>
      </c>
      <c r="W80" s="973"/>
      <c r="X80" s="378"/>
      <c r="Y80" s="423">
        <v>0</v>
      </c>
      <c r="Z80" s="84"/>
      <c r="AC80" s="84"/>
      <c r="AD80" s="84"/>
      <c r="AG80" s="84"/>
    </row>
    <row r="81" spans="1:33" ht="12.75" customHeight="1">
      <c r="A81" s="979" t="s">
        <v>2200</v>
      </c>
      <c r="B81" s="979"/>
      <c r="C81" s="979"/>
      <c r="D81" s="979"/>
      <c r="E81" s="979"/>
      <c r="F81" s="979"/>
      <c r="G81" s="979"/>
      <c r="H81" s="979"/>
      <c r="I81" s="979"/>
      <c r="J81" s="979"/>
      <c r="K81" s="979"/>
      <c r="L81" s="980"/>
      <c r="M81" s="220"/>
      <c r="N81" s="976">
        <v>1</v>
      </c>
      <c r="O81" s="977"/>
      <c r="P81" s="978"/>
      <c r="Q81" s="693"/>
      <c r="R81" s="974">
        <v>7000</v>
      </c>
      <c r="S81" s="975"/>
      <c r="T81" s="688"/>
      <c r="U81" s="689"/>
      <c r="V81" s="972">
        <v>0.4</v>
      </c>
      <c r="W81" s="973"/>
      <c r="X81" s="378"/>
      <c r="Y81" s="423">
        <v>0</v>
      </c>
      <c r="Z81" s="84"/>
      <c r="AC81" s="84"/>
      <c r="AD81" s="84"/>
      <c r="AG81" s="84"/>
    </row>
    <row r="82" spans="1:33" ht="12.75" customHeight="1">
      <c r="A82" s="979" t="s">
        <v>2201</v>
      </c>
      <c r="B82" s="979"/>
      <c r="C82" s="979"/>
      <c r="D82" s="979"/>
      <c r="E82" s="979"/>
      <c r="F82" s="979"/>
      <c r="G82" s="979"/>
      <c r="H82" s="979"/>
      <c r="I82" s="979"/>
      <c r="J82" s="979"/>
      <c r="K82" s="979"/>
      <c r="L82" s="980"/>
      <c r="M82" s="220"/>
      <c r="N82" s="976">
        <v>43</v>
      </c>
      <c r="O82" s="977"/>
      <c r="P82" s="978"/>
      <c r="Q82" s="693"/>
      <c r="R82" s="974">
        <v>1912000</v>
      </c>
      <c r="S82" s="975"/>
      <c r="T82" s="688"/>
      <c r="U82" s="689"/>
      <c r="V82" s="972">
        <v>0.88</v>
      </c>
      <c r="W82" s="973"/>
      <c r="X82" s="378"/>
      <c r="Y82" s="423">
        <v>0</v>
      </c>
      <c r="Z82" s="84"/>
      <c r="AC82" s="84"/>
      <c r="AD82" s="84"/>
      <c r="AG82" s="84"/>
    </row>
    <row r="83" spans="1:33" ht="12.75" customHeight="1">
      <c r="A83" s="979" t="s">
        <v>2202</v>
      </c>
      <c r="B83" s="979"/>
      <c r="C83" s="979"/>
      <c r="D83" s="979"/>
      <c r="E83" s="979"/>
      <c r="F83" s="979"/>
      <c r="G83" s="979"/>
      <c r="H83" s="979"/>
      <c r="I83" s="979"/>
      <c r="J83" s="979"/>
      <c r="K83" s="979"/>
      <c r="L83" s="980"/>
      <c r="M83" s="220"/>
      <c r="N83" s="976">
        <v>3</v>
      </c>
      <c r="O83" s="977"/>
      <c r="P83" s="978"/>
      <c r="Q83" s="693"/>
      <c r="R83" s="974">
        <v>462000</v>
      </c>
      <c r="S83" s="975"/>
      <c r="T83" s="688"/>
      <c r="U83" s="689"/>
      <c r="V83" s="972">
        <v>0.89</v>
      </c>
      <c r="W83" s="973"/>
      <c r="X83" s="378"/>
      <c r="Y83" s="423">
        <v>0</v>
      </c>
      <c r="Z83" s="84"/>
      <c r="AC83" s="84"/>
      <c r="AD83" s="84"/>
      <c r="AG83" s="84"/>
    </row>
    <row r="84" spans="1:33" ht="12.75" customHeight="1">
      <c r="A84" s="979" t="s">
        <v>2203</v>
      </c>
      <c r="B84" s="979"/>
      <c r="C84" s="979"/>
      <c r="D84" s="979"/>
      <c r="E84" s="979"/>
      <c r="F84" s="979"/>
      <c r="G84" s="979"/>
      <c r="H84" s="979"/>
      <c r="I84" s="979"/>
      <c r="J84" s="979"/>
      <c r="K84" s="979"/>
      <c r="L84" s="980"/>
      <c r="M84" s="220"/>
      <c r="N84" s="976">
        <v>7</v>
      </c>
      <c r="O84" s="977"/>
      <c r="P84" s="978"/>
      <c r="Q84" s="693"/>
      <c r="R84" s="974">
        <v>239000</v>
      </c>
      <c r="S84" s="975"/>
      <c r="T84" s="688"/>
      <c r="U84" s="689"/>
      <c r="V84" s="972">
        <v>0.89</v>
      </c>
      <c r="W84" s="973"/>
      <c r="X84" s="378"/>
      <c r="Y84" s="423">
        <v>0</v>
      </c>
      <c r="Z84" s="84"/>
      <c r="AC84" s="84"/>
      <c r="AD84" s="84"/>
      <c r="AG84" s="84"/>
    </row>
    <row r="85" spans="1:33" ht="12.75" customHeight="1">
      <c r="A85" s="979" t="s">
        <v>2204</v>
      </c>
      <c r="B85" s="979"/>
      <c r="C85" s="979"/>
      <c r="D85" s="979"/>
      <c r="E85" s="979"/>
      <c r="F85" s="979"/>
      <c r="G85" s="979"/>
      <c r="H85" s="979"/>
      <c r="I85" s="979"/>
      <c r="J85" s="979"/>
      <c r="K85" s="979"/>
      <c r="L85" s="980"/>
      <c r="M85" s="220"/>
      <c r="N85" s="976">
        <v>10</v>
      </c>
      <c r="O85" s="977"/>
      <c r="P85" s="978"/>
      <c r="Q85" s="693"/>
      <c r="R85" s="974">
        <v>547000</v>
      </c>
      <c r="S85" s="975"/>
      <c r="T85" s="688"/>
      <c r="U85" s="689"/>
      <c r="V85" s="972">
        <v>0.91</v>
      </c>
      <c r="W85" s="973"/>
      <c r="X85" s="378"/>
      <c r="Y85" s="423">
        <v>0</v>
      </c>
      <c r="Z85" s="84"/>
      <c r="AC85" s="84"/>
      <c r="AD85" s="84"/>
      <c r="AG85" s="84"/>
    </row>
    <row r="86" spans="1:33" ht="12.75" customHeight="1">
      <c r="A86" s="979" t="s">
        <v>2205</v>
      </c>
      <c r="B86" s="979"/>
      <c r="C86" s="979"/>
      <c r="D86" s="979"/>
      <c r="E86" s="979"/>
      <c r="F86" s="979"/>
      <c r="G86" s="979"/>
      <c r="H86" s="979"/>
      <c r="I86" s="979"/>
      <c r="J86" s="979"/>
      <c r="K86" s="979"/>
      <c r="L86" s="980"/>
      <c r="M86" s="220"/>
      <c r="N86" s="976">
        <v>3</v>
      </c>
      <c r="O86" s="977"/>
      <c r="P86" s="978"/>
      <c r="Q86" s="693"/>
      <c r="R86" s="974">
        <v>44000</v>
      </c>
      <c r="S86" s="975"/>
      <c r="T86" s="688"/>
      <c r="U86" s="689"/>
      <c r="V86" s="972">
        <v>1</v>
      </c>
      <c r="W86" s="973"/>
      <c r="X86" s="378"/>
      <c r="Y86" s="423">
        <v>0</v>
      </c>
      <c r="Z86" s="84"/>
      <c r="AC86" s="84"/>
      <c r="AD86" s="84"/>
      <c r="AG86" s="84"/>
    </row>
    <row r="87" spans="1:33" ht="12.75" customHeight="1">
      <c r="A87" s="979" t="s">
        <v>2206</v>
      </c>
      <c r="B87" s="979"/>
      <c r="C87" s="979"/>
      <c r="D87" s="979"/>
      <c r="E87" s="979"/>
      <c r="F87" s="979"/>
      <c r="G87" s="979"/>
      <c r="H87" s="979"/>
      <c r="I87" s="979"/>
      <c r="J87" s="979"/>
      <c r="K87" s="979"/>
      <c r="L87" s="980"/>
      <c r="M87" s="220"/>
      <c r="N87" s="976">
        <v>7</v>
      </c>
      <c r="O87" s="977"/>
      <c r="P87" s="978"/>
      <c r="Q87" s="693"/>
      <c r="R87" s="974">
        <v>325000</v>
      </c>
      <c r="S87" s="975"/>
      <c r="T87" s="688"/>
      <c r="U87" s="689"/>
      <c r="V87" s="972">
        <v>0.57</v>
      </c>
      <c r="W87" s="973"/>
      <c r="X87" s="378"/>
      <c r="Y87" s="423">
        <v>0</v>
      </c>
      <c r="Z87" s="84"/>
      <c r="AC87" s="84"/>
      <c r="AD87" s="84"/>
      <c r="AG87" s="84"/>
    </row>
    <row r="88" spans="1:33" ht="12.75" customHeight="1">
      <c r="A88" s="979" t="s">
        <v>2207</v>
      </c>
      <c r="B88" s="979"/>
      <c r="C88" s="979"/>
      <c r="D88" s="979"/>
      <c r="E88" s="979"/>
      <c r="F88" s="979"/>
      <c r="G88" s="979"/>
      <c r="H88" s="979"/>
      <c r="I88" s="979"/>
      <c r="J88" s="979"/>
      <c r="K88" s="979"/>
      <c r="L88" s="980"/>
      <c r="M88" s="220"/>
      <c r="N88" s="976">
        <v>2</v>
      </c>
      <c r="O88" s="977"/>
      <c r="P88" s="978"/>
      <c r="Q88" s="693"/>
      <c r="R88" s="974">
        <v>5000</v>
      </c>
      <c r="S88" s="975"/>
      <c r="T88" s="688"/>
      <c r="U88" s="689"/>
      <c r="V88" s="972">
        <v>1</v>
      </c>
      <c r="W88" s="973"/>
      <c r="X88" s="378"/>
      <c r="Y88" s="423">
        <v>0</v>
      </c>
      <c r="Z88" s="84"/>
      <c r="AC88" s="84"/>
      <c r="AD88" s="84"/>
      <c r="AG88" s="84"/>
    </row>
    <row r="89" spans="1:33" ht="12.75" customHeight="1">
      <c r="A89" s="979" t="s">
        <v>2208</v>
      </c>
      <c r="B89" s="979"/>
      <c r="C89" s="979"/>
      <c r="D89" s="979"/>
      <c r="E89" s="979"/>
      <c r="F89" s="979"/>
      <c r="G89" s="979"/>
      <c r="H89" s="979"/>
      <c r="I89" s="979"/>
      <c r="J89" s="979"/>
      <c r="K89" s="979"/>
      <c r="L89" s="980"/>
      <c r="M89" s="220"/>
      <c r="N89" s="976">
        <v>571</v>
      </c>
      <c r="O89" s="977"/>
      <c r="P89" s="978"/>
      <c r="Q89" s="693"/>
      <c r="R89" s="974">
        <v>97298000</v>
      </c>
      <c r="S89" s="975"/>
      <c r="T89" s="688"/>
      <c r="U89" s="689"/>
      <c r="V89" s="972">
        <v>1.29</v>
      </c>
      <c r="W89" s="973"/>
      <c r="X89" s="378"/>
      <c r="Y89" s="423">
        <v>0</v>
      </c>
      <c r="Z89" s="84"/>
      <c r="AC89" s="84"/>
      <c r="AD89" s="84"/>
      <c r="AG89" s="84"/>
    </row>
    <row r="90" spans="1:33" ht="12.75" customHeight="1">
      <c r="A90" s="979" t="s">
        <v>2209</v>
      </c>
      <c r="B90" s="979"/>
      <c r="C90" s="979"/>
      <c r="D90" s="979"/>
      <c r="E90" s="979"/>
      <c r="F90" s="979"/>
      <c r="G90" s="979"/>
      <c r="H90" s="979"/>
      <c r="I90" s="979"/>
      <c r="J90" s="979"/>
      <c r="K90" s="979"/>
      <c r="L90" s="980"/>
      <c r="M90" s="220"/>
      <c r="N90" s="976">
        <v>10</v>
      </c>
      <c r="O90" s="977"/>
      <c r="P90" s="978"/>
      <c r="Q90" s="693"/>
      <c r="R90" s="974">
        <v>130000</v>
      </c>
      <c r="S90" s="975"/>
      <c r="T90" s="688"/>
      <c r="U90" s="689"/>
      <c r="V90" s="972">
        <v>0.77</v>
      </c>
      <c r="W90" s="973"/>
      <c r="X90" s="378"/>
      <c r="Y90" s="423">
        <v>0</v>
      </c>
      <c r="Z90" s="84"/>
      <c r="AC90" s="84"/>
      <c r="AD90" s="84"/>
      <c r="AG90" s="84"/>
    </row>
    <row r="91" spans="1:33" ht="12.75" customHeight="1">
      <c r="A91" s="979" t="s">
        <v>2210</v>
      </c>
      <c r="B91" s="979"/>
      <c r="C91" s="979"/>
      <c r="D91" s="979"/>
      <c r="E91" s="979"/>
      <c r="F91" s="979"/>
      <c r="G91" s="979"/>
      <c r="H91" s="979"/>
      <c r="I91" s="979"/>
      <c r="J91" s="979"/>
      <c r="K91" s="979"/>
      <c r="L91" s="980"/>
      <c r="M91" s="220"/>
      <c r="N91" s="976">
        <v>1936</v>
      </c>
      <c r="O91" s="977"/>
      <c r="P91" s="978"/>
      <c r="Q91" s="693"/>
      <c r="R91" s="974">
        <v>85717000</v>
      </c>
      <c r="S91" s="975"/>
      <c r="T91" s="688"/>
      <c r="U91" s="689"/>
      <c r="V91" s="972">
        <v>1.47</v>
      </c>
      <c r="W91" s="973"/>
      <c r="X91" s="378"/>
      <c r="Y91" s="423">
        <v>0</v>
      </c>
      <c r="Z91" s="84"/>
      <c r="AC91" s="84"/>
      <c r="AD91" s="84"/>
      <c r="AG91" s="84"/>
    </row>
    <row r="92" spans="1:33" ht="12.75" customHeight="1">
      <c r="A92" s="979" t="s">
        <v>2211</v>
      </c>
      <c r="B92" s="979"/>
      <c r="C92" s="979"/>
      <c r="D92" s="979"/>
      <c r="E92" s="979"/>
      <c r="F92" s="979"/>
      <c r="G92" s="979"/>
      <c r="H92" s="979"/>
      <c r="I92" s="979"/>
      <c r="J92" s="979"/>
      <c r="K92" s="979"/>
      <c r="L92" s="980"/>
      <c r="M92" s="220"/>
      <c r="N92" s="976">
        <v>387</v>
      </c>
      <c r="O92" s="977"/>
      <c r="P92" s="978"/>
      <c r="Q92" s="693"/>
      <c r="R92" s="974">
        <v>2525000</v>
      </c>
      <c r="S92" s="975"/>
      <c r="T92" s="688"/>
      <c r="U92" s="689"/>
      <c r="V92" s="972">
        <v>0</v>
      </c>
      <c r="W92" s="973"/>
      <c r="X92" s="378"/>
      <c r="Y92" s="423">
        <v>0</v>
      </c>
      <c r="Z92" s="84"/>
      <c r="AC92" s="84"/>
      <c r="AD92" s="84"/>
      <c r="AG92" s="84"/>
    </row>
    <row r="93" spans="1:33" ht="12.75" customHeight="1">
      <c r="A93" s="979" t="s">
        <v>2212</v>
      </c>
      <c r="B93" s="979"/>
      <c r="C93" s="979"/>
      <c r="D93" s="979"/>
      <c r="E93" s="979"/>
      <c r="F93" s="979"/>
      <c r="G93" s="979"/>
      <c r="H93" s="979"/>
      <c r="I93" s="979"/>
      <c r="J93" s="979"/>
      <c r="K93" s="979"/>
      <c r="L93" s="980"/>
      <c r="M93" s="220"/>
      <c r="N93" s="976">
        <v>601</v>
      </c>
      <c r="O93" s="977"/>
      <c r="P93" s="978"/>
      <c r="Q93" s="693"/>
      <c r="R93" s="974">
        <v>8530000</v>
      </c>
      <c r="S93" s="975"/>
      <c r="T93" s="688"/>
      <c r="U93" s="689"/>
      <c r="V93" s="972">
        <v>0</v>
      </c>
      <c r="W93" s="973"/>
      <c r="X93" s="378"/>
      <c r="Y93" s="423">
        <v>0</v>
      </c>
      <c r="Z93" s="84"/>
      <c r="AC93" s="84"/>
      <c r="AD93" s="84"/>
      <c r="AG93" s="84"/>
    </row>
    <row r="94" spans="1:33" ht="12.75" customHeight="1">
      <c r="A94" s="979" t="s">
        <v>2213</v>
      </c>
      <c r="B94" s="979"/>
      <c r="C94" s="979"/>
      <c r="D94" s="979"/>
      <c r="E94" s="979"/>
      <c r="F94" s="979"/>
      <c r="G94" s="979"/>
      <c r="H94" s="979"/>
      <c r="I94" s="979"/>
      <c r="J94" s="979"/>
      <c r="K94" s="979"/>
      <c r="L94" s="980"/>
      <c r="M94" s="220"/>
      <c r="N94" s="976">
        <v>7</v>
      </c>
      <c r="O94" s="977"/>
      <c r="P94" s="978"/>
      <c r="Q94" s="693"/>
      <c r="R94" s="974">
        <v>178000</v>
      </c>
      <c r="S94" s="975"/>
      <c r="T94" s="688"/>
      <c r="U94" s="689"/>
      <c r="V94" s="972">
        <v>0.63</v>
      </c>
      <c r="W94" s="973"/>
      <c r="X94" s="378"/>
      <c r="Y94" s="423">
        <v>0</v>
      </c>
      <c r="Z94" s="84"/>
      <c r="AC94" s="84"/>
      <c r="AD94" s="84"/>
      <c r="AG94" s="84"/>
    </row>
    <row r="95" spans="1:33" ht="12.75" customHeight="1">
      <c r="A95" s="979" t="s">
        <v>2214</v>
      </c>
      <c r="B95" s="979"/>
      <c r="C95" s="979"/>
      <c r="D95" s="979"/>
      <c r="E95" s="979"/>
      <c r="F95" s="979"/>
      <c r="G95" s="979"/>
      <c r="H95" s="979"/>
      <c r="I95" s="979"/>
      <c r="J95" s="979"/>
      <c r="K95" s="979"/>
      <c r="L95" s="980"/>
      <c r="M95" s="220"/>
      <c r="N95" s="976">
        <v>404</v>
      </c>
      <c r="O95" s="977"/>
      <c r="P95" s="978"/>
      <c r="Q95" s="693"/>
      <c r="R95" s="974">
        <v>8015000</v>
      </c>
      <c r="S95" s="975"/>
      <c r="T95" s="688"/>
      <c r="U95" s="689"/>
      <c r="V95" s="972">
        <v>0.91</v>
      </c>
      <c r="W95" s="973"/>
      <c r="X95" s="378"/>
      <c r="Y95" s="423">
        <v>0</v>
      </c>
      <c r="Z95" s="84"/>
      <c r="AC95" s="84"/>
      <c r="AD95" s="84"/>
      <c r="AG95" s="84"/>
    </row>
    <row r="96" spans="1:33" ht="12.75" customHeight="1">
      <c r="A96" s="979" t="s">
        <v>2215</v>
      </c>
      <c r="B96" s="979"/>
      <c r="C96" s="979"/>
      <c r="D96" s="979"/>
      <c r="E96" s="979"/>
      <c r="F96" s="979"/>
      <c r="G96" s="979"/>
      <c r="H96" s="979"/>
      <c r="I96" s="979"/>
      <c r="J96" s="979"/>
      <c r="K96" s="979"/>
      <c r="L96" s="980"/>
      <c r="M96" s="220"/>
      <c r="N96" s="976">
        <v>1</v>
      </c>
      <c r="O96" s="977"/>
      <c r="P96" s="978"/>
      <c r="Q96" s="693"/>
      <c r="R96" s="974">
        <v>2000</v>
      </c>
      <c r="S96" s="975"/>
      <c r="T96" s="688"/>
      <c r="U96" s="689"/>
      <c r="V96" s="972">
        <v>1.25</v>
      </c>
      <c r="W96" s="973"/>
      <c r="X96" s="378"/>
      <c r="Y96" s="423">
        <v>0</v>
      </c>
      <c r="Z96" s="84"/>
      <c r="AC96" s="84"/>
      <c r="AD96" s="84"/>
      <c r="AG96" s="84"/>
    </row>
    <row r="97" spans="1:33" ht="12.75" customHeight="1">
      <c r="A97" s="979" t="s">
        <v>2216</v>
      </c>
      <c r="B97" s="979"/>
      <c r="C97" s="979"/>
      <c r="D97" s="979"/>
      <c r="E97" s="979"/>
      <c r="F97" s="979"/>
      <c r="G97" s="979"/>
      <c r="H97" s="979"/>
      <c r="I97" s="979"/>
      <c r="J97" s="979"/>
      <c r="K97" s="979"/>
      <c r="L97" s="980"/>
      <c r="M97" s="220"/>
      <c r="N97" s="976">
        <v>1</v>
      </c>
      <c r="O97" s="977"/>
      <c r="P97" s="978"/>
      <c r="Q97" s="693"/>
      <c r="R97" s="974">
        <v>15000</v>
      </c>
      <c r="S97" s="975"/>
      <c r="T97" s="688"/>
      <c r="U97" s="689"/>
      <c r="V97" s="972">
        <v>1</v>
      </c>
      <c r="W97" s="973"/>
      <c r="X97" s="378"/>
      <c r="Y97" s="423">
        <v>0</v>
      </c>
      <c r="Z97" s="84"/>
      <c r="AC97" s="84"/>
      <c r="AD97" s="84"/>
      <c r="AG97" s="84"/>
    </row>
    <row r="98" spans="1:33" ht="12.75" customHeight="1">
      <c r="A98" s="979" t="s">
        <v>2217</v>
      </c>
      <c r="B98" s="979"/>
      <c r="C98" s="979"/>
      <c r="D98" s="979"/>
      <c r="E98" s="979"/>
      <c r="F98" s="979"/>
      <c r="G98" s="979"/>
      <c r="H98" s="979"/>
      <c r="I98" s="979"/>
      <c r="J98" s="979"/>
      <c r="K98" s="979"/>
      <c r="L98" s="980"/>
      <c r="M98" s="220"/>
      <c r="N98" s="976">
        <v>39283</v>
      </c>
      <c r="O98" s="977"/>
      <c r="P98" s="978"/>
      <c r="Q98" s="693"/>
      <c r="R98" s="974">
        <v>228887000</v>
      </c>
      <c r="S98" s="975"/>
      <c r="T98" s="688"/>
      <c r="U98" s="689"/>
      <c r="V98" s="972">
        <v>0</v>
      </c>
      <c r="W98" s="973"/>
      <c r="X98" s="378"/>
      <c r="Y98" s="423">
        <v>9.6</v>
      </c>
      <c r="Z98" s="84"/>
      <c r="AC98" s="84"/>
      <c r="AD98" s="84"/>
      <c r="AG98" s="84"/>
    </row>
    <row r="99" spans="1:33" s="483" customFormat="1" ht="12.75" customHeight="1">
      <c r="A99" s="162" t="s">
        <v>48</v>
      </c>
      <c r="B99" s="162"/>
      <c r="C99" s="162"/>
      <c r="D99" s="162"/>
      <c r="E99" s="162"/>
      <c r="F99" s="162"/>
      <c r="G99" s="162"/>
      <c r="H99" s="162"/>
      <c r="I99" s="162"/>
      <c r="J99" s="162"/>
      <c r="K99" s="162"/>
      <c r="L99" s="162"/>
      <c r="M99" s="414">
        <v>1405</v>
      </c>
      <c r="N99" s="990">
        <v>43326</v>
      </c>
      <c r="O99" s="991"/>
      <c r="P99" s="992"/>
      <c r="Q99" s="491" t="s">
        <v>376</v>
      </c>
      <c r="R99" s="990">
        <v>435920000</v>
      </c>
      <c r="S99" s="991"/>
      <c r="T99" s="1081" t="s">
        <v>2116</v>
      </c>
      <c r="U99" s="1081"/>
      <c r="V99" s="1077">
        <v>0.79</v>
      </c>
      <c r="W99" s="1078"/>
      <c r="X99" s="491" t="s">
        <v>2117</v>
      </c>
      <c r="Y99" s="487">
        <v>9</v>
      </c>
      <c r="Z99" s="492"/>
      <c r="AA99" s="493"/>
      <c r="AB99" s="493"/>
      <c r="AC99" s="493"/>
      <c r="AD99" s="493"/>
      <c r="AE99" s="493"/>
      <c r="AF99" s="493"/>
      <c r="AG99" s="493"/>
    </row>
    <row r="100" spans="1:25" ht="11.25">
      <c r="A100" s="218" t="s">
        <v>2477</v>
      </c>
      <c r="B100" s="218"/>
      <c r="C100" s="218"/>
      <c r="D100" s="576"/>
      <c r="E100" s="576"/>
      <c r="F100" s="576"/>
      <c r="G100" s="576"/>
      <c r="H100" s="576"/>
      <c r="I100" s="576"/>
      <c r="J100" s="576"/>
      <c r="K100" s="576"/>
      <c r="L100" s="576"/>
      <c r="M100" s="576"/>
      <c r="N100" s="1074">
        <f>SUM(s055.01400)</f>
        <v>43326</v>
      </c>
      <c r="O100" s="1075"/>
      <c r="P100" s="1076"/>
      <c r="Q100" s="576"/>
      <c r="R100" s="1074">
        <f>SUM(s055.01410)</f>
        <v>435920000</v>
      </c>
      <c r="S100" s="1076"/>
      <c r="T100" s="576"/>
      <c r="U100" s="576"/>
      <c r="V100" s="1074">
        <f>SUM(s055.01420)</f>
        <v>19.88</v>
      </c>
      <c r="W100" s="1076"/>
      <c r="X100" s="576"/>
      <c r="Y100" s="668">
        <f>SUM(s055.01430)</f>
        <v>9.6</v>
      </c>
    </row>
    <row r="101" spans="1:25" ht="11.25">
      <c r="A101" s="218" t="s">
        <v>880</v>
      </c>
      <c r="B101" s="218"/>
      <c r="C101" s="218"/>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631"/>
    </row>
    <row r="102" spans="1:25" ht="11.25">
      <c r="A102" s="627"/>
      <c r="B102" s="627"/>
      <c r="C102" s="627"/>
      <c r="D102" s="576"/>
      <c r="E102" s="576"/>
      <c r="F102" s="576"/>
      <c r="G102" s="576"/>
      <c r="H102" s="576"/>
      <c r="I102" s="576"/>
      <c r="J102" s="576"/>
      <c r="K102" s="576"/>
      <c r="L102" s="576"/>
      <c r="M102" s="576"/>
      <c r="N102" s="576"/>
      <c r="O102" s="576"/>
      <c r="P102" s="576"/>
      <c r="Q102" s="576"/>
      <c r="R102" s="576"/>
      <c r="S102" s="576"/>
      <c r="T102" s="576"/>
      <c r="U102" s="576"/>
      <c r="V102" s="576"/>
      <c r="W102" s="576"/>
      <c r="X102" s="576"/>
      <c r="Y102" s="271"/>
    </row>
    <row r="103" spans="1:25" ht="11.25">
      <c r="A103" s="94"/>
      <c r="B103" s="316"/>
      <c r="C103" s="316"/>
      <c r="D103" s="95"/>
      <c r="E103" s="95"/>
      <c r="F103" s="95"/>
      <c r="G103" s="95"/>
      <c r="H103" s="95"/>
      <c r="I103" s="95"/>
      <c r="J103" s="95"/>
      <c r="K103" s="95"/>
      <c r="L103" s="95"/>
      <c r="M103" s="95"/>
      <c r="N103" s="95"/>
      <c r="O103" s="95"/>
      <c r="P103" s="814" t="s">
        <v>878</v>
      </c>
      <c r="Q103" s="814"/>
      <c r="R103" s="814"/>
      <c r="S103" s="814"/>
      <c r="T103" s="95"/>
      <c r="U103" s="95"/>
      <c r="V103" s="95"/>
      <c r="W103" s="95"/>
      <c r="X103" s="95"/>
      <c r="Y103" s="96"/>
    </row>
    <row r="104" spans="1:25" ht="11.25">
      <c r="A104" s="76" t="s">
        <v>1656</v>
      </c>
      <c r="B104" s="161"/>
      <c r="C104" s="161"/>
      <c r="D104" s="77"/>
      <c r="E104" s="77"/>
      <c r="F104" s="77"/>
      <c r="G104" s="77"/>
      <c r="H104" s="77"/>
      <c r="I104" s="77"/>
      <c r="J104" s="835" t="s">
        <v>1506</v>
      </c>
      <c r="K104" s="835"/>
      <c r="L104" s="835"/>
      <c r="M104" s="835"/>
      <c r="N104" s="79"/>
      <c r="O104" s="77"/>
      <c r="P104" s="810"/>
      <c r="Q104" s="810"/>
      <c r="R104" s="810"/>
      <c r="S104" s="810"/>
      <c r="T104" s="79"/>
      <c r="U104" s="77"/>
      <c r="V104" s="835" t="s">
        <v>1670</v>
      </c>
      <c r="W104" s="835"/>
      <c r="X104" s="835"/>
      <c r="Y104" s="840"/>
    </row>
    <row r="105" spans="1:26" ht="11.25">
      <c r="A105" s="56" t="s">
        <v>1280</v>
      </c>
      <c r="B105" s="103"/>
      <c r="C105" s="103"/>
      <c r="D105" s="83"/>
      <c r="E105" s="83"/>
      <c r="F105" s="83"/>
      <c r="G105" s="83"/>
      <c r="H105" s="83"/>
      <c r="I105" s="83"/>
      <c r="J105" s="795" t="s">
        <v>2383</v>
      </c>
      <c r="K105" s="795"/>
      <c r="L105" s="795" t="s">
        <v>49</v>
      </c>
      <c r="M105" s="795"/>
      <c r="N105" s="58"/>
      <c r="O105" s="57"/>
      <c r="P105" s="795" t="s">
        <v>2383</v>
      </c>
      <c r="Q105" s="795"/>
      <c r="R105" s="795" t="s">
        <v>49</v>
      </c>
      <c r="S105" s="795"/>
      <c r="T105" s="58"/>
      <c r="U105" s="57"/>
      <c r="V105" s="795" t="s">
        <v>2383</v>
      </c>
      <c r="W105" s="795"/>
      <c r="X105" s="795" t="s">
        <v>49</v>
      </c>
      <c r="Y105" s="841"/>
      <c r="Z105" s="59"/>
    </row>
    <row r="106" spans="1:25" ht="11.25">
      <c r="A106" s="299" t="s">
        <v>1299</v>
      </c>
      <c r="B106" s="299"/>
      <c r="C106" s="299"/>
      <c r="D106" s="300"/>
      <c r="E106" s="300"/>
      <c r="F106" s="300"/>
      <c r="G106" s="300"/>
      <c r="H106" s="300"/>
      <c r="I106" s="300"/>
      <c r="J106" s="60" t="s">
        <v>1525</v>
      </c>
      <c r="K106" s="85">
        <v>621</v>
      </c>
      <c r="L106" s="60" t="s">
        <v>635</v>
      </c>
      <c r="M106" s="1054">
        <v>8945000</v>
      </c>
      <c r="N106" s="1055"/>
      <c r="O106" s="1056"/>
      <c r="P106" s="60" t="s">
        <v>656</v>
      </c>
      <c r="Q106" s="85">
        <v>667</v>
      </c>
      <c r="R106" s="60" t="s">
        <v>677</v>
      </c>
      <c r="S106" s="1060">
        <v>10705000</v>
      </c>
      <c r="T106" s="1061"/>
      <c r="U106" s="1062"/>
      <c r="V106" s="60" t="s">
        <v>698</v>
      </c>
      <c r="W106" s="61">
        <v>1</v>
      </c>
      <c r="X106" s="60" t="s">
        <v>439</v>
      </c>
      <c r="Y106" s="63">
        <v>17000</v>
      </c>
    </row>
    <row r="107" spans="1:25" ht="11.25">
      <c r="A107" s="299" t="s">
        <v>1281</v>
      </c>
      <c r="B107" s="299"/>
      <c r="C107" s="299"/>
      <c r="D107" s="300"/>
      <c r="E107" s="300"/>
      <c r="F107" s="300"/>
      <c r="G107" s="300"/>
      <c r="H107" s="300"/>
      <c r="I107" s="300"/>
      <c r="J107" s="60" t="s">
        <v>2118</v>
      </c>
      <c r="K107" s="85">
        <v>425</v>
      </c>
      <c r="L107" s="60" t="s">
        <v>636</v>
      </c>
      <c r="M107" s="984">
        <v>5967000</v>
      </c>
      <c r="N107" s="985"/>
      <c r="O107" s="986"/>
      <c r="P107" s="60" t="s">
        <v>657</v>
      </c>
      <c r="Q107" s="85">
        <v>52</v>
      </c>
      <c r="R107" s="60" t="s">
        <v>678</v>
      </c>
      <c r="S107" s="1057">
        <v>4648000</v>
      </c>
      <c r="T107" s="1058"/>
      <c r="U107" s="1059"/>
      <c r="V107" s="60" t="s">
        <v>420</v>
      </c>
      <c r="W107" s="61">
        <v>0</v>
      </c>
      <c r="X107" s="60" t="s">
        <v>440</v>
      </c>
      <c r="Y107" s="64">
        <v>0</v>
      </c>
    </row>
    <row r="108" spans="1:25" ht="11.25">
      <c r="A108" s="299" t="s">
        <v>1282</v>
      </c>
      <c r="B108" s="299"/>
      <c r="C108" s="299"/>
      <c r="D108" s="300"/>
      <c r="E108" s="300"/>
      <c r="F108" s="300"/>
      <c r="G108" s="300"/>
      <c r="H108" s="300"/>
      <c r="I108" s="300"/>
      <c r="J108" s="60" t="s">
        <v>2119</v>
      </c>
      <c r="K108" s="85">
        <v>723</v>
      </c>
      <c r="L108" s="60" t="s">
        <v>637</v>
      </c>
      <c r="M108" s="984">
        <v>104935000</v>
      </c>
      <c r="N108" s="985"/>
      <c r="O108" s="986"/>
      <c r="P108" s="60" t="s">
        <v>658</v>
      </c>
      <c r="Q108" s="85">
        <v>590</v>
      </c>
      <c r="R108" s="60" t="s">
        <v>679</v>
      </c>
      <c r="S108" s="1057">
        <v>88626000</v>
      </c>
      <c r="T108" s="1058"/>
      <c r="U108" s="1059"/>
      <c r="V108" s="60" t="s">
        <v>421</v>
      </c>
      <c r="W108" s="61">
        <v>2</v>
      </c>
      <c r="X108" s="60" t="s">
        <v>441</v>
      </c>
      <c r="Y108" s="64">
        <v>134000</v>
      </c>
    </row>
    <row r="109" spans="1:25" ht="11.25">
      <c r="A109" s="299" t="s">
        <v>1283</v>
      </c>
      <c r="B109" s="299"/>
      <c r="C109" s="299"/>
      <c r="D109" s="300"/>
      <c r="E109" s="300"/>
      <c r="F109" s="300"/>
      <c r="G109" s="300"/>
      <c r="H109" s="300"/>
      <c r="I109" s="300"/>
      <c r="J109" s="60" t="s">
        <v>2120</v>
      </c>
      <c r="K109" s="85">
        <v>650</v>
      </c>
      <c r="L109" s="60" t="s">
        <v>638</v>
      </c>
      <c r="M109" s="984">
        <v>55996000</v>
      </c>
      <c r="N109" s="985"/>
      <c r="O109" s="986"/>
      <c r="P109" s="60" t="s">
        <v>659</v>
      </c>
      <c r="Q109" s="85">
        <v>1120</v>
      </c>
      <c r="R109" s="60" t="s">
        <v>680</v>
      </c>
      <c r="S109" s="1057">
        <v>78991000</v>
      </c>
      <c r="T109" s="1058"/>
      <c r="U109" s="1059"/>
      <c r="V109" s="60" t="s">
        <v>422</v>
      </c>
      <c r="W109" s="61">
        <v>252</v>
      </c>
      <c r="X109" s="60" t="s">
        <v>442</v>
      </c>
      <c r="Y109" s="64">
        <v>797000</v>
      </c>
    </row>
    <row r="110" spans="1:25" ht="11.25">
      <c r="A110" s="299" t="s">
        <v>1284</v>
      </c>
      <c r="B110" s="299"/>
      <c r="C110" s="299"/>
      <c r="D110" s="300"/>
      <c r="E110" s="300"/>
      <c r="F110" s="300"/>
      <c r="G110" s="300"/>
      <c r="H110" s="300"/>
      <c r="I110" s="300"/>
      <c r="J110" s="60" t="s">
        <v>2121</v>
      </c>
      <c r="K110" s="85">
        <v>253</v>
      </c>
      <c r="L110" s="60" t="s">
        <v>639</v>
      </c>
      <c r="M110" s="984">
        <v>9441000</v>
      </c>
      <c r="N110" s="985"/>
      <c r="O110" s="986"/>
      <c r="P110" s="60" t="s">
        <v>660</v>
      </c>
      <c r="Q110" s="85">
        <v>345</v>
      </c>
      <c r="R110" s="60" t="s">
        <v>681</v>
      </c>
      <c r="S110" s="1057">
        <v>19913000</v>
      </c>
      <c r="T110" s="1058"/>
      <c r="U110" s="1059"/>
      <c r="V110" s="60" t="s">
        <v>423</v>
      </c>
      <c r="W110" s="61">
        <v>10241</v>
      </c>
      <c r="X110" s="60" t="s">
        <v>443</v>
      </c>
      <c r="Y110" s="64">
        <v>28454000</v>
      </c>
    </row>
    <row r="111" spans="1:25" ht="11.25">
      <c r="A111" s="299" t="s">
        <v>1285</v>
      </c>
      <c r="B111" s="299"/>
      <c r="C111" s="299"/>
      <c r="D111" s="300"/>
      <c r="E111" s="300"/>
      <c r="F111" s="300"/>
      <c r="G111" s="300"/>
      <c r="H111" s="300"/>
      <c r="I111" s="300"/>
      <c r="J111" s="60" t="s">
        <v>2122</v>
      </c>
      <c r="K111" s="85">
        <v>388</v>
      </c>
      <c r="L111" s="60" t="s">
        <v>640</v>
      </c>
      <c r="M111" s="984">
        <v>8462000</v>
      </c>
      <c r="N111" s="985"/>
      <c r="O111" s="986"/>
      <c r="P111" s="60" t="s">
        <v>661</v>
      </c>
      <c r="Q111" s="85">
        <v>479</v>
      </c>
      <c r="R111" s="60" t="s">
        <v>682</v>
      </c>
      <c r="S111" s="1057">
        <v>15390000</v>
      </c>
      <c r="T111" s="1066"/>
      <c r="U111" s="1067"/>
      <c r="V111" s="60" t="s">
        <v>424</v>
      </c>
      <c r="W111" s="61">
        <v>9179</v>
      </c>
      <c r="X111" s="60" t="s">
        <v>1527</v>
      </c>
      <c r="Y111" s="64">
        <v>9464000</v>
      </c>
    </row>
    <row r="112" spans="1:25" ht="11.25">
      <c r="A112" s="299" t="s">
        <v>1286</v>
      </c>
      <c r="B112" s="299"/>
      <c r="C112" s="299"/>
      <c r="D112" s="300"/>
      <c r="E112" s="300"/>
      <c r="F112" s="300"/>
      <c r="G112" s="300"/>
      <c r="H112" s="300"/>
      <c r="I112" s="300"/>
      <c r="J112" s="60" t="s">
        <v>2123</v>
      </c>
      <c r="K112" s="85">
        <v>699</v>
      </c>
      <c r="L112" s="60" t="s">
        <v>641</v>
      </c>
      <c r="M112" s="984">
        <v>4833000</v>
      </c>
      <c r="N112" s="985"/>
      <c r="O112" s="986"/>
      <c r="P112" s="60" t="s">
        <v>662</v>
      </c>
      <c r="Q112" s="85">
        <v>823</v>
      </c>
      <c r="R112" s="60" t="s">
        <v>683</v>
      </c>
      <c r="S112" s="1057">
        <v>6842000</v>
      </c>
      <c r="T112" s="1058"/>
      <c r="U112" s="1059"/>
      <c r="V112" s="60" t="s">
        <v>425</v>
      </c>
      <c r="W112" s="61">
        <v>13087</v>
      </c>
      <c r="X112" s="60" t="s">
        <v>444</v>
      </c>
      <c r="Y112" s="64">
        <v>24391000</v>
      </c>
    </row>
    <row r="113" spans="1:25" ht="11.25">
      <c r="A113" s="299" t="s">
        <v>1287</v>
      </c>
      <c r="B113" s="299"/>
      <c r="C113" s="299"/>
      <c r="D113" s="300"/>
      <c r="E113" s="300"/>
      <c r="F113" s="300"/>
      <c r="G113" s="300"/>
      <c r="H113" s="300"/>
      <c r="I113" s="300"/>
      <c r="J113" s="60" t="s">
        <v>2124</v>
      </c>
      <c r="K113" s="85">
        <v>318</v>
      </c>
      <c r="L113" s="60" t="s">
        <v>642</v>
      </c>
      <c r="M113" s="984">
        <v>7246000</v>
      </c>
      <c r="N113" s="985"/>
      <c r="O113" s="986"/>
      <c r="P113" s="60" t="s">
        <v>663</v>
      </c>
      <c r="Q113" s="85">
        <v>394</v>
      </c>
      <c r="R113" s="60" t="s">
        <v>684</v>
      </c>
      <c r="S113" s="1057">
        <v>10286000</v>
      </c>
      <c r="T113" s="1058"/>
      <c r="U113" s="1059"/>
      <c r="V113" s="60" t="s">
        <v>426</v>
      </c>
      <c r="W113" s="61">
        <v>4833</v>
      </c>
      <c r="X113" s="60" t="s">
        <v>445</v>
      </c>
      <c r="Y113" s="64">
        <v>16641000</v>
      </c>
    </row>
    <row r="114" spans="1:25" ht="11.25">
      <c r="A114" s="299" t="s">
        <v>1288</v>
      </c>
      <c r="B114" s="299"/>
      <c r="C114" s="299"/>
      <c r="D114" s="300"/>
      <c r="E114" s="300"/>
      <c r="F114" s="300"/>
      <c r="G114" s="300"/>
      <c r="H114" s="300"/>
      <c r="I114" s="300"/>
      <c r="J114" s="60" t="s">
        <v>2125</v>
      </c>
      <c r="K114" s="85">
        <v>377</v>
      </c>
      <c r="L114" s="60" t="s">
        <v>643</v>
      </c>
      <c r="M114" s="984">
        <v>3316000</v>
      </c>
      <c r="N114" s="985"/>
      <c r="O114" s="986"/>
      <c r="P114" s="60" t="s">
        <v>664</v>
      </c>
      <c r="Q114" s="85">
        <v>420</v>
      </c>
      <c r="R114" s="60" t="s">
        <v>685</v>
      </c>
      <c r="S114" s="1057">
        <v>5041000</v>
      </c>
      <c r="T114" s="1058"/>
      <c r="U114" s="1059"/>
      <c r="V114" s="60" t="s">
        <v>427</v>
      </c>
      <c r="W114" s="61">
        <v>1241</v>
      </c>
      <c r="X114" s="60" t="s">
        <v>446</v>
      </c>
      <c r="Y114" s="64">
        <v>44344000</v>
      </c>
    </row>
    <row r="115" spans="1:25" ht="11.25">
      <c r="A115" s="299" t="s">
        <v>1289</v>
      </c>
      <c r="B115" s="299"/>
      <c r="C115" s="299"/>
      <c r="D115" s="300"/>
      <c r="E115" s="300"/>
      <c r="F115" s="300"/>
      <c r="G115" s="300"/>
      <c r="H115" s="300"/>
      <c r="I115" s="300"/>
      <c r="J115" s="60" t="s">
        <v>2126</v>
      </c>
      <c r="K115" s="85">
        <v>376</v>
      </c>
      <c r="L115" s="60" t="s">
        <v>644</v>
      </c>
      <c r="M115" s="984">
        <v>4644000</v>
      </c>
      <c r="N115" s="985"/>
      <c r="O115" s="986"/>
      <c r="P115" s="60" t="s">
        <v>665</v>
      </c>
      <c r="Q115" s="85">
        <v>456</v>
      </c>
      <c r="R115" s="60" t="s">
        <v>686</v>
      </c>
      <c r="S115" s="1057">
        <v>6394000</v>
      </c>
      <c r="T115" s="1058"/>
      <c r="U115" s="1059"/>
      <c r="V115" s="60" t="s">
        <v>428</v>
      </c>
      <c r="W115" s="61">
        <v>6744</v>
      </c>
      <c r="X115" s="60" t="s">
        <v>447</v>
      </c>
      <c r="Y115" s="64">
        <v>90310000</v>
      </c>
    </row>
    <row r="116" spans="1:25" ht="11.25">
      <c r="A116" s="299" t="s">
        <v>1290</v>
      </c>
      <c r="B116" s="299"/>
      <c r="C116" s="299"/>
      <c r="D116" s="300"/>
      <c r="E116" s="300"/>
      <c r="F116" s="300"/>
      <c r="G116" s="300"/>
      <c r="H116" s="300"/>
      <c r="I116" s="300"/>
      <c r="J116" s="60" t="s">
        <v>2127</v>
      </c>
      <c r="K116" s="85">
        <v>2974</v>
      </c>
      <c r="L116" s="60" t="s">
        <v>645</v>
      </c>
      <c r="M116" s="984">
        <v>10322000</v>
      </c>
      <c r="N116" s="985"/>
      <c r="O116" s="986"/>
      <c r="P116" s="60" t="s">
        <v>666</v>
      </c>
      <c r="Q116" s="85">
        <v>3109</v>
      </c>
      <c r="R116" s="60" t="s">
        <v>687</v>
      </c>
      <c r="S116" s="1057">
        <v>11942000</v>
      </c>
      <c r="T116" s="1058"/>
      <c r="U116" s="1059"/>
      <c r="V116" s="60" t="s">
        <v>429</v>
      </c>
      <c r="W116" s="61">
        <v>12703</v>
      </c>
      <c r="X116" s="60" t="s">
        <v>448</v>
      </c>
      <c r="Y116" s="64">
        <v>124338000</v>
      </c>
    </row>
    <row r="117" spans="1:25" ht="11.25">
      <c r="A117" s="299" t="s">
        <v>1291</v>
      </c>
      <c r="B117" s="299"/>
      <c r="C117" s="299"/>
      <c r="D117" s="300"/>
      <c r="E117" s="300"/>
      <c r="F117" s="300"/>
      <c r="G117" s="300"/>
      <c r="H117" s="300"/>
      <c r="I117" s="300"/>
      <c r="J117" s="60" t="s">
        <v>2128</v>
      </c>
      <c r="K117" s="85">
        <v>403</v>
      </c>
      <c r="L117" s="60" t="s">
        <v>646</v>
      </c>
      <c r="M117" s="984">
        <v>4084000</v>
      </c>
      <c r="N117" s="985"/>
      <c r="O117" s="986"/>
      <c r="P117" s="60" t="s">
        <v>667</v>
      </c>
      <c r="Q117" s="85">
        <v>461</v>
      </c>
      <c r="R117" s="60" t="s">
        <v>688</v>
      </c>
      <c r="S117" s="1057">
        <v>5520000</v>
      </c>
      <c r="T117" s="1058"/>
      <c r="U117" s="1059"/>
      <c r="V117" s="60" t="s">
        <v>430</v>
      </c>
      <c r="W117" s="61">
        <v>4632</v>
      </c>
      <c r="X117" s="60" t="s">
        <v>449</v>
      </c>
      <c r="Y117" s="64">
        <v>120432000</v>
      </c>
    </row>
    <row r="118" spans="1:25" ht="11.25">
      <c r="A118" s="299" t="s">
        <v>1292</v>
      </c>
      <c r="B118" s="299"/>
      <c r="C118" s="299"/>
      <c r="D118" s="300"/>
      <c r="E118" s="300"/>
      <c r="F118" s="300"/>
      <c r="G118" s="300"/>
      <c r="H118" s="300"/>
      <c r="I118" s="300"/>
      <c r="J118" s="60" t="s">
        <v>2129</v>
      </c>
      <c r="K118" s="85">
        <v>1112</v>
      </c>
      <c r="L118" s="60" t="s">
        <v>647</v>
      </c>
      <c r="M118" s="984">
        <v>10771000</v>
      </c>
      <c r="N118" s="985"/>
      <c r="O118" s="986"/>
      <c r="P118" s="60" t="s">
        <v>668</v>
      </c>
      <c r="Q118" s="85">
        <v>1200</v>
      </c>
      <c r="R118" s="60" t="s">
        <v>689</v>
      </c>
      <c r="S118" s="1057">
        <v>12951000</v>
      </c>
      <c r="T118" s="1058"/>
      <c r="U118" s="1059"/>
      <c r="V118" s="60" t="s">
        <v>431</v>
      </c>
      <c r="W118" s="61">
        <v>4488</v>
      </c>
      <c r="X118" s="60" t="s">
        <v>450</v>
      </c>
      <c r="Y118" s="64">
        <v>36183000</v>
      </c>
    </row>
    <row r="119" spans="1:25" ht="11.25">
      <c r="A119" s="299" t="s">
        <v>1293</v>
      </c>
      <c r="B119" s="299"/>
      <c r="C119" s="299"/>
      <c r="D119" s="300"/>
      <c r="E119" s="300"/>
      <c r="F119" s="300"/>
      <c r="G119" s="300"/>
      <c r="H119" s="300"/>
      <c r="I119" s="300"/>
      <c r="J119" s="60" t="s">
        <v>2130</v>
      </c>
      <c r="K119" s="85">
        <v>958</v>
      </c>
      <c r="L119" s="60" t="s">
        <v>648</v>
      </c>
      <c r="M119" s="984">
        <v>8723000</v>
      </c>
      <c r="N119" s="985"/>
      <c r="O119" s="986"/>
      <c r="P119" s="60" t="s">
        <v>669</v>
      </c>
      <c r="Q119" s="85">
        <v>1040</v>
      </c>
      <c r="R119" s="60" t="s">
        <v>690</v>
      </c>
      <c r="S119" s="1057">
        <v>10883000</v>
      </c>
      <c r="T119" s="1058"/>
      <c r="U119" s="1059"/>
      <c r="V119" s="60" t="s">
        <v>432</v>
      </c>
      <c r="W119" s="61">
        <v>2559</v>
      </c>
      <c r="X119" s="60" t="s">
        <v>451</v>
      </c>
      <c r="Y119" s="64">
        <v>32442000</v>
      </c>
    </row>
    <row r="120" spans="1:25" ht="11.25">
      <c r="A120" s="299" t="s">
        <v>1294</v>
      </c>
      <c r="B120" s="299"/>
      <c r="C120" s="299"/>
      <c r="D120" s="300"/>
      <c r="E120" s="300"/>
      <c r="F120" s="300"/>
      <c r="G120" s="300"/>
      <c r="H120" s="300"/>
      <c r="I120" s="300"/>
      <c r="J120" s="60" t="s">
        <v>2131</v>
      </c>
      <c r="K120" s="85">
        <v>1377</v>
      </c>
      <c r="L120" s="60" t="s">
        <v>649</v>
      </c>
      <c r="M120" s="984">
        <v>12859000</v>
      </c>
      <c r="N120" s="985"/>
      <c r="O120" s="986"/>
      <c r="P120" s="60" t="s">
        <v>670</v>
      </c>
      <c r="Q120" s="85">
        <v>1534</v>
      </c>
      <c r="R120" s="60" t="s">
        <v>691</v>
      </c>
      <c r="S120" s="1057">
        <v>15987000</v>
      </c>
      <c r="T120" s="1058"/>
      <c r="U120" s="1059"/>
      <c r="V120" s="60" t="s">
        <v>433</v>
      </c>
      <c r="W120" s="61">
        <v>2729</v>
      </c>
      <c r="X120" s="60" t="s">
        <v>452</v>
      </c>
      <c r="Y120" s="64">
        <v>39377000</v>
      </c>
    </row>
    <row r="121" spans="1:25" ht="11.25">
      <c r="A121" s="299" t="s">
        <v>1295</v>
      </c>
      <c r="B121" s="299"/>
      <c r="C121" s="299"/>
      <c r="D121" s="300"/>
      <c r="E121" s="300"/>
      <c r="F121" s="300"/>
      <c r="G121" s="300"/>
      <c r="H121" s="300"/>
      <c r="I121" s="300"/>
      <c r="J121" s="60" t="s">
        <v>2132</v>
      </c>
      <c r="K121" s="85">
        <v>1187</v>
      </c>
      <c r="L121" s="60" t="s">
        <v>650</v>
      </c>
      <c r="M121" s="984">
        <v>10256000</v>
      </c>
      <c r="N121" s="985"/>
      <c r="O121" s="986"/>
      <c r="P121" s="60" t="s">
        <v>671</v>
      </c>
      <c r="Q121" s="85">
        <v>1339</v>
      </c>
      <c r="R121" s="60" t="s">
        <v>692</v>
      </c>
      <c r="S121" s="1057">
        <v>12631000</v>
      </c>
      <c r="T121" s="1058"/>
      <c r="U121" s="1059"/>
      <c r="V121" s="60" t="s">
        <v>434</v>
      </c>
      <c r="W121" s="61">
        <v>2416</v>
      </c>
      <c r="X121" s="60" t="s">
        <v>1528</v>
      </c>
      <c r="Y121" s="64">
        <v>29365000</v>
      </c>
    </row>
    <row r="122" spans="1:25" ht="11.25">
      <c r="A122" s="299" t="s">
        <v>1296</v>
      </c>
      <c r="B122" s="299"/>
      <c r="C122" s="299"/>
      <c r="D122" s="300"/>
      <c r="E122" s="300"/>
      <c r="F122" s="300"/>
      <c r="G122" s="300"/>
      <c r="H122" s="300"/>
      <c r="I122" s="300"/>
      <c r="J122" s="60" t="s">
        <v>2133</v>
      </c>
      <c r="K122" s="85">
        <v>5138</v>
      </c>
      <c r="L122" s="60" t="s">
        <v>651</v>
      </c>
      <c r="M122" s="984">
        <v>29519000</v>
      </c>
      <c r="N122" s="985"/>
      <c r="O122" s="986"/>
      <c r="P122" s="60" t="s">
        <v>672</v>
      </c>
      <c r="Q122" s="85">
        <v>5769</v>
      </c>
      <c r="R122" s="60" t="s">
        <v>693</v>
      </c>
      <c r="S122" s="1057">
        <v>38059000</v>
      </c>
      <c r="T122" s="1058"/>
      <c r="U122" s="1059"/>
      <c r="V122" s="60" t="s">
        <v>1526</v>
      </c>
      <c r="W122" s="61">
        <v>8979</v>
      </c>
      <c r="X122" s="60" t="s">
        <v>453</v>
      </c>
      <c r="Y122" s="64">
        <v>82907000</v>
      </c>
    </row>
    <row r="123" spans="1:25" ht="11.25">
      <c r="A123" s="299" t="s">
        <v>1297</v>
      </c>
      <c r="B123" s="299"/>
      <c r="C123" s="299"/>
      <c r="D123" s="300"/>
      <c r="E123" s="300"/>
      <c r="F123" s="300"/>
      <c r="G123" s="300"/>
      <c r="H123" s="300"/>
      <c r="I123" s="300"/>
      <c r="J123" s="60" t="s">
        <v>2134</v>
      </c>
      <c r="K123" s="85">
        <v>3421</v>
      </c>
      <c r="L123" s="60" t="s">
        <v>652</v>
      </c>
      <c r="M123" s="984">
        <v>22989000</v>
      </c>
      <c r="N123" s="985"/>
      <c r="O123" s="986"/>
      <c r="P123" s="60" t="s">
        <v>673</v>
      </c>
      <c r="Q123" s="85">
        <v>3828</v>
      </c>
      <c r="R123" s="60" t="s">
        <v>694</v>
      </c>
      <c r="S123" s="1057">
        <v>28760000</v>
      </c>
      <c r="T123" s="1058"/>
      <c r="U123" s="1059"/>
      <c r="V123" s="60" t="s">
        <v>435</v>
      </c>
      <c r="W123" s="61">
        <v>5731</v>
      </c>
      <c r="X123" s="60" t="s">
        <v>454</v>
      </c>
      <c r="Y123" s="64">
        <v>55573000</v>
      </c>
    </row>
    <row r="124" spans="1:25" ht="11.25">
      <c r="A124" s="299" t="s">
        <v>1300</v>
      </c>
      <c r="B124" s="299"/>
      <c r="C124" s="299"/>
      <c r="D124" s="300"/>
      <c r="E124" s="300"/>
      <c r="F124" s="300"/>
      <c r="G124" s="300"/>
      <c r="H124" s="300"/>
      <c r="I124" s="300"/>
      <c r="J124" s="60" t="s">
        <v>2135</v>
      </c>
      <c r="K124" s="85">
        <v>3439</v>
      </c>
      <c r="L124" s="60" t="s">
        <v>653</v>
      </c>
      <c r="M124" s="984">
        <v>20818000</v>
      </c>
      <c r="N124" s="985"/>
      <c r="O124" s="986"/>
      <c r="P124" s="60" t="s">
        <v>674</v>
      </c>
      <c r="Q124" s="85">
        <v>3911</v>
      </c>
      <c r="R124" s="60" t="s">
        <v>695</v>
      </c>
      <c r="S124" s="1057">
        <v>26995000</v>
      </c>
      <c r="T124" s="1058"/>
      <c r="U124" s="1059"/>
      <c r="V124" s="60" t="s">
        <v>436</v>
      </c>
      <c r="W124" s="61">
        <v>6255</v>
      </c>
      <c r="X124" s="60" t="s">
        <v>455</v>
      </c>
      <c r="Y124" s="64">
        <v>55347000</v>
      </c>
    </row>
    <row r="125" spans="1:25" ht="11.25">
      <c r="A125" s="301" t="s">
        <v>1298</v>
      </c>
      <c r="B125" s="301"/>
      <c r="C125" s="301"/>
      <c r="D125" s="83"/>
      <c r="E125" s="83"/>
      <c r="F125" s="83"/>
      <c r="G125" s="83"/>
      <c r="H125" s="83"/>
      <c r="I125" s="83"/>
      <c r="J125" s="60" t="s">
        <v>633</v>
      </c>
      <c r="K125" s="86">
        <v>18487</v>
      </c>
      <c r="L125" s="60" t="s">
        <v>654</v>
      </c>
      <c r="M125" s="1071">
        <v>91794000</v>
      </c>
      <c r="N125" s="1072"/>
      <c r="O125" s="1073"/>
      <c r="P125" s="60" t="s">
        <v>675</v>
      </c>
      <c r="Q125" s="86">
        <v>21133</v>
      </c>
      <c r="R125" s="60" t="s">
        <v>696</v>
      </c>
      <c r="S125" s="1068">
        <v>115641000</v>
      </c>
      <c r="T125" s="1069"/>
      <c r="U125" s="1070"/>
      <c r="V125" s="60" t="s">
        <v>437</v>
      </c>
      <c r="W125" s="65">
        <v>31225</v>
      </c>
      <c r="X125" s="60" t="s">
        <v>456</v>
      </c>
      <c r="Y125" s="64">
        <v>209484000</v>
      </c>
    </row>
    <row r="126" spans="1:27" s="43" customFormat="1" ht="11.25">
      <c r="A126" s="70" t="s">
        <v>48</v>
      </c>
      <c r="B126" s="70"/>
      <c r="C126" s="70"/>
      <c r="D126" s="70"/>
      <c r="E126" s="87"/>
      <c r="F126" s="87"/>
      <c r="G126" s="87"/>
      <c r="H126" s="87"/>
      <c r="I126" s="87"/>
      <c r="J126" s="414" t="s">
        <v>634</v>
      </c>
      <c r="K126" s="486">
        <v>43326</v>
      </c>
      <c r="L126" s="414" t="s">
        <v>655</v>
      </c>
      <c r="M126" s="990">
        <v>435920000</v>
      </c>
      <c r="N126" s="991"/>
      <c r="O126" s="992"/>
      <c r="P126" s="414" t="s">
        <v>676</v>
      </c>
      <c r="Q126" s="486">
        <v>48670</v>
      </c>
      <c r="R126" s="414" t="s">
        <v>697</v>
      </c>
      <c r="S126" s="990">
        <v>526205000</v>
      </c>
      <c r="T126" s="991"/>
      <c r="U126" s="992"/>
      <c r="V126" s="414" t="s">
        <v>438</v>
      </c>
      <c r="W126" s="486">
        <v>127297</v>
      </c>
      <c r="X126" s="414" t="s">
        <v>457</v>
      </c>
      <c r="Y126" s="487">
        <v>1000000000</v>
      </c>
      <c r="Z126" s="484"/>
      <c r="AA126" s="146"/>
    </row>
    <row r="127" spans="1:27" s="43" customFormat="1" ht="11.25">
      <c r="A127" s="70" t="s">
        <v>2376</v>
      </c>
      <c r="B127" s="70"/>
      <c r="C127" s="70"/>
      <c r="D127" s="70"/>
      <c r="E127" s="87"/>
      <c r="F127" s="87"/>
      <c r="G127" s="87"/>
      <c r="H127" s="87"/>
      <c r="I127" s="87"/>
      <c r="J127" s="488"/>
      <c r="K127" s="489"/>
      <c r="L127" s="414" t="s">
        <v>488</v>
      </c>
      <c r="M127" s="987">
        <v>6.09</v>
      </c>
      <c r="N127" s="988"/>
      <c r="O127" s="989"/>
      <c r="P127" s="488"/>
      <c r="Q127" s="489"/>
      <c r="R127" s="414" t="s">
        <v>489</v>
      </c>
      <c r="S127" s="987">
        <v>6</v>
      </c>
      <c r="T127" s="988"/>
      <c r="U127" s="989"/>
      <c r="V127" s="488"/>
      <c r="W127" s="489"/>
      <c r="X127" s="414" t="s">
        <v>2375</v>
      </c>
      <c r="Y127" s="490">
        <v>8</v>
      </c>
      <c r="Z127" s="484"/>
      <c r="AA127" s="146"/>
    </row>
    <row r="128" spans="1:25" ht="11.25">
      <c r="A128" s="632"/>
      <c r="B128" s="632"/>
      <c r="C128" s="632"/>
      <c r="D128" s="633"/>
      <c r="E128" s="633"/>
      <c r="F128" s="633"/>
      <c r="G128" s="633"/>
      <c r="H128" s="633"/>
      <c r="I128" s="633"/>
      <c r="J128" s="267"/>
      <c r="K128" s="267"/>
      <c r="L128" s="267"/>
      <c r="M128" s="267"/>
      <c r="N128" s="267"/>
      <c r="O128" s="267"/>
      <c r="P128" s="267"/>
      <c r="Q128" s="267"/>
      <c r="R128" s="267"/>
      <c r="S128" s="267"/>
      <c r="T128" s="267"/>
      <c r="U128" s="267"/>
      <c r="V128" s="267"/>
      <c r="W128" s="267"/>
      <c r="X128" s="267"/>
      <c r="Y128" s="552"/>
    </row>
    <row r="129" spans="1:27" s="7" customFormat="1" ht="11.25">
      <c r="A129" s="270"/>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1"/>
      <c r="AA129" s="257"/>
    </row>
    <row r="130" spans="1:27" s="7" customFormat="1" ht="11.25">
      <c r="A130" s="53" t="s">
        <v>1660</v>
      </c>
      <c r="B130" s="73"/>
      <c r="C130" s="73"/>
      <c r="D130" s="54"/>
      <c r="E130" s="54"/>
      <c r="F130" s="54"/>
      <c r="G130" s="54"/>
      <c r="H130" s="54"/>
      <c r="I130" s="54"/>
      <c r="J130" s="54"/>
      <c r="K130" s="54"/>
      <c r="L130" s="54"/>
      <c r="M130" s="54"/>
      <c r="N130" s="54"/>
      <c r="O130" s="54"/>
      <c r="P130" s="814" t="s">
        <v>878</v>
      </c>
      <c r="Q130" s="814"/>
      <c r="R130" s="814"/>
      <c r="S130" s="814"/>
      <c r="T130" s="54"/>
      <c r="U130" s="98"/>
      <c r="V130" s="98"/>
      <c r="W130" s="98"/>
      <c r="X130" s="98"/>
      <c r="Y130" s="96"/>
      <c r="AA130" s="257"/>
    </row>
    <row r="131" spans="1:25" ht="11.25">
      <c r="A131" s="99"/>
      <c r="B131" s="77"/>
      <c r="C131" s="77"/>
      <c r="D131" s="77"/>
      <c r="E131" s="77"/>
      <c r="F131" s="77"/>
      <c r="G131" s="77"/>
      <c r="H131" s="77"/>
      <c r="I131" s="77"/>
      <c r="J131" s="1008" t="s">
        <v>1506</v>
      </c>
      <c r="K131" s="1008"/>
      <c r="L131" s="1008"/>
      <c r="M131" s="1008"/>
      <c r="N131" s="79"/>
      <c r="O131" s="77"/>
      <c r="P131" s="810"/>
      <c r="Q131" s="810"/>
      <c r="R131" s="810"/>
      <c r="S131" s="810"/>
      <c r="T131" s="79"/>
      <c r="U131" s="77"/>
      <c r="V131" s="835" t="s">
        <v>1670</v>
      </c>
      <c r="W131" s="835"/>
      <c r="X131" s="835"/>
      <c r="Y131" s="840"/>
    </row>
    <row r="132" spans="1:54" s="101" customFormat="1" ht="11.25">
      <c r="A132" s="56" t="s">
        <v>87</v>
      </c>
      <c r="B132" s="103"/>
      <c r="C132" s="103"/>
      <c r="D132" s="57"/>
      <c r="E132" s="57"/>
      <c r="F132" s="57"/>
      <c r="G132" s="57"/>
      <c r="H132" s="57"/>
      <c r="I132" s="57"/>
      <c r="J132" s="57"/>
      <c r="K132" s="78" t="s">
        <v>88</v>
      </c>
      <c r="L132" s="78"/>
      <c r="M132" s="78" t="s">
        <v>111</v>
      </c>
      <c r="N132" s="78"/>
      <c r="O132" s="57"/>
      <c r="P132" s="57"/>
      <c r="Q132" s="78" t="s">
        <v>88</v>
      </c>
      <c r="R132" s="78"/>
      <c r="S132" s="78" t="s">
        <v>111</v>
      </c>
      <c r="T132" s="100"/>
      <c r="U132" s="100"/>
      <c r="V132" s="57"/>
      <c r="W132" s="78" t="s">
        <v>88</v>
      </c>
      <c r="X132" s="78"/>
      <c r="Y132" s="80" t="s">
        <v>111</v>
      </c>
      <c r="Z132" s="1"/>
      <c r="AA132" s="36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s="101" customFormat="1" ht="11.25">
      <c r="A133" s="175" t="s">
        <v>1192</v>
      </c>
      <c r="B133" s="54"/>
      <c r="C133" s="54"/>
      <c r="D133" s="54"/>
      <c r="E133" s="54"/>
      <c r="F133" s="54"/>
      <c r="G133" s="54"/>
      <c r="H133" s="54"/>
      <c r="I133" s="96"/>
      <c r="J133" s="477" t="s">
        <v>1553</v>
      </c>
      <c r="K133" s="510">
        <v>2.65</v>
      </c>
      <c r="L133" s="654"/>
      <c r="M133" s="220"/>
      <c r="N133" s="302"/>
      <c r="O133" s="267"/>
      <c r="P133" s="68" t="s">
        <v>1076</v>
      </c>
      <c r="Q133" s="510">
        <v>269</v>
      </c>
      <c r="R133" s="218"/>
      <c r="S133" s="308"/>
      <c r="T133" s="304"/>
      <c r="U133" s="305"/>
      <c r="V133" s="68" t="s">
        <v>1079</v>
      </c>
      <c r="W133" s="510">
        <v>164</v>
      </c>
      <c r="X133" s="308"/>
      <c r="Y133" s="220"/>
      <c r="Z133" s="1"/>
      <c r="AA133" s="36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s="101" customFormat="1" ht="11.25">
      <c r="A134" s="294" t="s">
        <v>587</v>
      </c>
      <c r="B134" s="981" t="s">
        <v>2218</v>
      </c>
      <c r="C134" s="982"/>
      <c r="D134" s="982"/>
      <c r="E134" s="982"/>
      <c r="F134" s="982"/>
      <c r="G134" s="982"/>
      <c r="H134" s="982"/>
      <c r="I134" s="983"/>
      <c r="J134" s="155" t="s">
        <v>1074</v>
      </c>
      <c r="K134" s="511">
        <v>0.37</v>
      </c>
      <c r="L134" s="66" t="s">
        <v>1075</v>
      </c>
      <c r="M134" s="512" t="s">
        <v>1413</v>
      </c>
      <c r="N134" s="303"/>
      <c r="O134" s="270"/>
      <c r="P134" s="69" t="s">
        <v>1077</v>
      </c>
      <c r="Q134" s="511">
        <v>38</v>
      </c>
      <c r="R134" s="66" t="s">
        <v>1078</v>
      </c>
      <c r="S134" s="512" t="s">
        <v>2219</v>
      </c>
      <c r="T134" s="306"/>
      <c r="U134" s="307"/>
      <c r="V134" s="69" t="s">
        <v>1080</v>
      </c>
      <c r="W134" s="511">
        <v>20</v>
      </c>
      <c r="X134" s="69" t="s">
        <v>1081</v>
      </c>
      <c r="Y134" s="509" t="s">
        <v>2219</v>
      </c>
      <c r="Z134" s="1"/>
      <c r="AA134" s="36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s="101" customFormat="1" ht="11.25">
      <c r="A135" s="567" t="s">
        <v>962</v>
      </c>
      <c r="B135" s="218"/>
      <c r="C135" s="218"/>
      <c r="D135" s="218"/>
      <c r="E135" s="218"/>
      <c r="F135" s="218"/>
      <c r="G135" s="218"/>
      <c r="H135" s="218"/>
      <c r="I135" s="218"/>
      <c r="J135" s="267"/>
      <c r="K135" s="267"/>
      <c r="L135" s="267"/>
      <c r="M135" s="267"/>
      <c r="N135" s="267"/>
      <c r="O135" s="267"/>
      <c r="P135" s="267"/>
      <c r="Q135" s="267"/>
      <c r="R135" s="267"/>
      <c r="S135" s="305"/>
      <c r="T135" s="305"/>
      <c r="U135" s="305"/>
      <c r="V135" s="305"/>
      <c r="W135" s="305"/>
      <c r="X135" s="305"/>
      <c r="Y135" s="634"/>
      <c r="Z135" s="1"/>
      <c r="AA135" s="36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s="101" customFormat="1" ht="11.25">
      <c r="A136" s="567" t="s">
        <v>963</v>
      </c>
      <c r="B136" s="218"/>
      <c r="C136" s="218"/>
      <c r="D136" s="218"/>
      <c r="E136" s="218"/>
      <c r="F136" s="218"/>
      <c r="G136" s="218"/>
      <c r="H136" s="218"/>
      <c r="I136" s="218"/>
      <c r="J136" s="218"/>
      <c r="K136" s="218"/>
      <c r="L136" s="218"/>
      <c r="M136" s="218"/>
      <c r="N136" s="218"/>
      <c r="O136" s="218"/>
      <c r="P136" s="218"/>
      <c r="Q136" s="218"/>
      <c r="R136" s="218"/>
      <c r="S136" s="572"/>
      <c r="T136" s="572"/>
      <c r="U136" s="572"/>
      <c r="V136" s="572"/>
      <c r="W136" s="572"/>
      <c r="X136" s="572"/>
      <c r="Y136" s="635"/>
      <c r="Z136" s="1"/>
      <c r="AA136" s="36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25" ht="11.25">
      <c r="A137" s="563"/>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1"/>
    </row>
    <row r="138" spans="1:27" s="7" customFormat="1" ht="11.25">
      <c r="A138" s="53" t="s">
        <v>961</v>
      </c>
      <c r="B138" s="73"/>
      <c r="C138" s="73"/>
      <c r="D138" s="73"/>
      <c r="E138" s="54"/>
      <c r="F138" s="73"/>
      <c r="G138" s="54"/>
      <c r="H138" s="73"/>
      <c r="I138" s="54"/>
      <c r="J138" s="73"/>
      <c r="K138" s="54"/>
      <c r="L138" s="843" t="s">
        <v>1506</v>
      </c>
      <c r="M138" s="843"/>
      <c r="N138" s="843"/>
      <c r="O138" s="843"/>
      <c r="P138" s="843"/>
      <c r="Q138" s="843"/>
      <c r="R138" s="55"/>
      <c r="S138" s="54"/>
      <c r="T138" s="843" t="s">
        <v>1670</v>
      </c>
      <c r="U138" s="843"/>
      <c r="V138" s="843"/>
      <c r="W138" s="843"/>
      <c r="X138" s="843"/>
      <c r="Y138" s="856"/>
      <c r="AA138" s="257"/>
    </row>
    <row r="139" spans="1:27" s="7" customFormat="1" ht="11.25">
      <c r="A139" s="56" t="s">
        <v>908</v>
      </c>
      <c r="B139" s="103"/>
      <c r="C139" s="103"/>
      <c r="D139" s="103"/>
      <c r="E139" s="57"/>
      <c r="F139" s="103"/>
      <c r="G139" s="57"/>
      <c r="H139" s="103"/>
      <c r="I139" s="57"/>
      <c r="J139" s="103"/>
      <c r="K139" s="57"/>
      <c r="L139" s="795" t="s">
        <v>62</v>
      </c>
      <c r="M139" s="795"/>
      <c r="N139" s="795" t="s">
        <v>2306</v>
      </c>
      <c r="O139" s="795"/>
      <c r="P139" s="795" t="s">
        <v>2307</v>
      </c>
      <c r="Q139" s="795"/>
      <c r="R139" s="103"/>
      <c r="S139" s="57"/>
      <c r="T139" s="795" t="s">
        <v>62</v>
      </c>
      <c r="U139" s="795"/>
      <c r="V139" s="795" t="s">
        <v>2306</v>
      </c>
      <c r="W139" s="795"/>
      <c r="X139" s="795" t="s">
        <v>2307</v>
      </c>
      <c r="Y139" s="841"/>
      <c r="Z139" s="44"/>
      <c r="AA139" s="257"/>
    </row>
    <row r="140" spans="1:27" s="7" customFormat="1" ht="11.25">
      <c r="A140" s="77" t="s">
        <v>1653</v>
      </c>
      <c r="B140" s="77"/>
      <c r="C140" s="77"/>
      <c r="D140" s="77"/>
      <c r="E140" s="161"/>
      <c r="F140" s="77"/>
      <c r="G140" s="161"/>
      <c r="H140" s="77"/>
      <c r="I140" s="161"/>
      <c r="J140" s="77"/>
      <c r="K140" s="161"/>
      <c r="L140" s="60" t="s">
        <v>1082</v>
      </c>
      <c r="M140" s="61">
        <v>10220</v>
      </c>
      <c r="N140" s="68" t="s">
        <v>1088</v>
      </c>
      <c r="O140" s="63">
        <v>455461000</v>
      </c>
      <c r="P140" s="60" t="s">
        <v>1092</v>
      </c>
      <c r="Q140" s="1060">
        <v>455461000</v>
      </c>
      <c r="R140" s="1061"/>
      <c r="S140" s="1062"/>
      <c r="T140" s="60" t="s">
        <v>1098</v>
      </c>
      <c r="U140" s="61">
        <v>10220</v>
      </c>
      <c r="V140" s="68" t="s">
        <v>1104</v>
      </c>
      <c r="W140" s="63">
        <v>1022000000</v>
      </c>
      <c r="X140" s="60" t="s">
        <v>1105</v>
      </c>
      <c r="Y140" s="63">
        <v>1022000000</v>
      </c>
      <c r="AA140" s="257"/>
    </row>
    <row r="141" spans="1:27" s="7" customFormat="1" ht="11.25">
      <c r="A141" s="77" t="s">
        <v>1617</v>
      </c>
      <c r="B141" s="77"/>
      <c r="C141" s="77"/>
      <c r="D141" s="77"/>
      <c r="E141" s="161"/>
      <c r="F141" s="77"/>
      <c r="G141" s="161"/>
      <c r="H141" s="77"/>
      <c r="I141" s="161"/>
      <c r="J141" s="77"/>
      <c r="K141" s="161"/>
      <c r="L141" s="60" t="s">
        <v>1083</v>
      </c>
      <c r="M141" s="61"/>
      <c r="N141" s="60" t="s">
        <v>1089</v>
      </c>
      <c r="O141" s="64"/>
      <c r="P141" s="60" t="s">
        <v>1093</v>
      </c>
      <c r="Q141" s="1057"/>
      <c r="R141" s="1058"/>
      <c r="S141" s="1059"/>
      <c r="T141" s="60" t="s">
        <v>1099</v>
      </c>
      <c r="U141" s="61"/>
      <c r="V141" s="60" t="s">
        <v>1180</v>
      </c>
      <c r="W141" s="64"/>
      <c r="X141" s="60" t="s">
        <v>1106</v>
      </c>
      <c r="Y141" s="64"/>
      <c r="AA141" s="257"/>
    </row>
    <row r="142" spans="1:27" s="7" customFormat="1" ht="11.25">
      <c r="A142" s="77" t="s">
        <v>1652</v>
      </c>
      <c r="B142" s="77"/>
      <c r="C142" s="77"/>
      <c r="D142" s="77"/>
      <c r="E142" s="161"/>
      <c r="F142" s="77"/>
      <c r="G142" s="161"/>
      <c r="H142" s="77"/>
      <c r="I142" s="161"/>
      <c r="J142" s="77"/>
      <c r="K142" s="161"/>
      <c r="L142" s="60" t="s">
        <v>1084</v>
      </c>
      <c r="M142" s="61"/>
      <c r="N142" s="60" t="s">
        <v>1090</v>
      </c>
      <c r="O142" s="64"/>
      <c r="P142" s="60" t="s">
        <v>1094</v>
      </c>
      <c r="Q142" s="1057"/>
      <c r="R142" s="1058"/>
      <c r="S142" s="1059"/>
      <c r="T142" s="60" t="s">
        <v>1100</v>
      </c>
      <c r="U142" s="61"/>
      <c r="V142" s="60" t="s">
        <v>1181</v>
      </c>
      <c r="W142" s="64"/>
      <c r="X142" s="60" t="s">
        <v>1107</v>
      </c>
      <c r="Y142" s="64"/>
      <c r="AA142" s="257"/>
    </row>
    <row r="143" spans="1:27" s="7" customFormat="1" ht="11.25">
      <c r="A143" s="77" t="s">
        <v>1651</v>
      </c>
      <c r="B143" s="77"/>
      <c r="C143" s="77"/>
      <c r="D143" s="77"/>
      <c r="E143" s="161"/>
      <c r="F143" s="77"/>
      <c r="G143" s="161"/>
      <c r="H143" s="77"/>
      <c r="I143" s="161"/>
      <c r="J143" s="77"/>
      <c r="K143" s="161"/>
      <c r="L143" s="60" t="s">
        <v>1085</v>
      </c>
      <c r="M143" s="61"/>
      <c r="N143" s="69" t="s">
        <v>1091</v>
      </c>
      <c r="O143" s="64"/>
      <c r="P143" s="60" t="s">
        <v>1095</v>
      </c>
      <c r="Q143" s="1057"/>
      <c r="R143" s="1058"/>
      <c r="S143" s="1059"/>
      <c r="T143" s="60" t="s">
        <v>1101</v>
      </c>
      <c r="U143" s="61"/>
      <c r="V143" s="69" t="s">
        <v>1182</v>
      </c>
      <c r="W143" s="64"/>
      <c r="X143" s="60" t="s">
        <v>1108</v>
      </c>
      <c r="Y143" s="64"/>
      <c r="AA143" s="257"/>
    </row>
    <row r="144" spans="1:27" s="43" customFormat="1" ht="11.25">
      <c r="A144" s="77" t="s">
        <v>1654</v>
      </c>
      <c r="B144" s="77"/>
      <c r="C144" s="77"/>
      <c r="D144" s="77"/>
      <c r="E144" s="161"/>
      <c r="F144" s="77"/>
      <c r="G144" s="161"/>
      <c r="H144" s="77"/>
      <c r="I144" s="161"/>
      <c r="J144" s="77"/>
      <c r="K144" s="161"/>
      <c r="L144" s="60" t="s">
        <v>1086</v>
      </c>
      <c r="M144" s="61"/>
      <c r="N144" s="309"/>
      <c r="O144" s="221"/>
      <c r="P144" s="60" t="s">
        <v>1096</v>
      </c>
      <c r="Q144" s="1068"/>
      <c r="R144" s="1069"/>
      <c r="S144" s="1070"/>
      <c r="T144" s="60" t="s">
        <v>1102</v>
      </c>
      <c r="U144" s="61"/>
      <c r="V144" s="309"/>
      <c r="W144" s="310"/>
      <c r="X144" s="60" t="s">
        <v>1109</v>
      </c>
      <c r="Y144" s="64"/>
      <c r="Z144" s="7"/>
      <c r="AA144" s="146"/>
    </row>
    <row r="145" spans="1:27" s="43" customFormat="1" ht="11.25">
      <c r="A145" s="162" t="s">
        <v>48</v>
      </c>
      <c r="B145" s="162"/>
      <c r="C145" s="162"/>
      <c r="D145" s="162"/>
      <c r="E145" s="162"/>
      <c r="F145" s="162"/>
      <c r="G145" s="162"/>
      <c r="H145" s="162"/>
      <c r="I145" s="162"/>
      <c r="J145" s="162"/>
      <c r="K145" s="162"/>
      <c r="L145" s="414" t="s">
        <v>1087</v>
      </c>
      <c r="M145" s="507">
        <v>10220</v>
      </c>
      <c r="N145" s="488"/>
      <c r="O145" s="508"/>
      <c r="P145" s="414" t="s">
        <v>1097</v>
      </c>
      <c r="Q145" s="990">
        <v>455461000</v>
      </c>
      <c r="R145" s="991"/>
      <c r="S145" s="992"/>
      <c r="T145" s="414" t="s">
        <v>1103</v>
      </c>
      <c r="U145" s="486">
        <v>10220</v>
      </c>
      <c r="V145" s="488"/>
      <c r="W145" s="508"/>
      <c r="X145" s="414" t="s">
        <v>1110</v>
      </c>
      <c r="Y145" s="487">
        <v>1022000000</v>
      </c>
      <c r="AA145" s="146"/>
    </row>
    <row r="146" spans="21:25" ht="11.25">
      <c r="U146" s="323"/>
      <c r="Y146" s="323"/>
    </row>
    <row r="147" spans="1:3" ht="11.25">
      <c r="A147" s="44"/>
      <c r="B147" s="44"/>
      <c r="C147" s="44"/>
    </row>
    <row r="149" spans="1:3" ht="11.25">
      <c r="A149" s="104"/>
      <c r="B149" s="104"/>
      <c r="C149" s="104"/>
    </row>
    <row r="150" spans="1:3" ht="11.25">
      <c r="A150" s="104"/>
      <c r="B150" s="104"/>
      <c r="C150" s="104"/>
    </row>
    <row r="151" spans="1:3" ht="11.25">
      <c r="A151" s="104"/>
      <c r="B151" s="104"/>
      <c r="C151" s="104"/>
    </row>
    <row r="152" spans="1:3" ht="11.25">
      <c r="A152" s="104"/>
      <c r="B152" s="104"/>
      <c r="C152" s="104"/>
    </row>
  </sheetData>
  <sheetProtection insertRows="0" deleteRows="0"/>
  <mergeCells count="306">
    <mergeCell ref="N100:P100"/>
    <mergeCell ref="R100:S100"/>
    <mergeCell ref="V100:W100"/>
    <mergeCell ref="E8:Y8"/>
    <mergeCell ref="V99:W99"/>
    <mergeCell ref="T73:U73"/>
    <mergeCell ref="V73:W73"/>
    <mergeCell ref="T99:U99"/>
    <mergeCell ref="M61:O61"/>
    <mergeCell ref="M62:O62"/>
    <mergeCell ref="E4:Y4"/>
    <mergeCell ref="E5:Y5"/>
    <mergeCell ref="E6:Y6"/>
    <mergeCell ref="E7:Y7"/>
    <mergeCell ref="M123:O123"/>
    <mergeCell ref="M124:O124"/>
    <mergeCell ref="M125:O125"/>
    <mergeCell ref="M119:O119"/>
    <mergeCell ref="M120:O120"/>
    <mergeCell ref="M121:O121"/>
    <mergeCell ref="M122:O122"/>
    <mergeCell ref="M115:O115"/>
    <mergeCell ref="M116:O116"/>
    <mergeCell ref="M117:O117"/>
    <mergeCell ref="M118:O118"/>
    <mergeCell ref="S123:U123"/>
    <mergeCell ref="S124:U124"/>
    <mergeCell ref="S125:U125"/>
    <mergeCell ref="Q144:S144"/>
    <mergeCell ref="Q140:S140"/>
    <mergeCell ref="Q141:S141"/>
    <mergeCell ref="Q142:S142"/>
    <mergeCell ref="Q143:S143"/>
    <mergeCell ref="S127:U127"/>
    <mergeCell ref="S126:U126"/>
    <mergeCell ref="S119:U119"/>
    <mergeCell ref="S120:U120"/>
    <mergeCell ref="S121:U121"/>
    <mergeCell ref="S122:U122"/>
    <mergeCell ref="S115:U115"/>
    <mergeCell ref="S116:U116"/>
    <mergeCell ref="S117:U117"/>
    <mergeCell ref="S118:U118"/>
    <mergeCell ref="S114:U114"/>
    <mergeCell ref="S110:U110"/>
    <mergeCell ref="S111:U111"/>
    <mergeCell ref="S112:U112"/>
    <mergeCell ref="S113:U113"/>
    <mergeCell ref="M63:O63"/>
    <mergeCell ref="S59:U59"/>
    <mergeCell ref="S60:U60"/>
    <mergeCell ref="S61:U61"/>
    <mergeCell ref="S62:U62"/>
    <mergeCell ref="S63:U63"/>
    <mergeCell ref="M106:O106"/>
    <mergeCell ref="M107:O107"/>
    <mergeCell ref="M108:O108"/>
    <mergeCell ref="S109:U109"/>
    <mergeCell ref="S106:U106"/>
    <mergeCell ref="S107:U107"/>
    <mergeCell ref="S108:U108"/>
    <mergeCell ref="S32:U32"/>
    <mergeCell ref="S33:U33"/>
    <mergeCell ref="S34:U34"/>
    <mergeCell ref="S36:U36"/>
    <mergeCell ref="S28:U28"/>
    <mergeCell ref="S29:U29"/>
    <mergeCell ref="S30:U30"/>
    <mergeCell ref="S31:U31"/>
    <mergeCell ref="S24:U24"/>
    <mergeCell ref="S25:U25"/>
    <mergeCell ref="S26:U26"/>
    <mergeCell ref="S27:U27"/>
    <mergeCell ref="M33:O33"/>
    <mergeCell ref="M34:O34"/>
    <mergeCell ref="S16:U16"/>
    <mergeCell ref="S17:U17"/>
    <mergeCell ref="S18:U18"/>
    <mergeCell ref="S19:U19"/>
    <mergeCell ref="S20:U20"/>
    <mergeCell ref="S21:U21"/>
    <mergeCell ref="S22:U22"/>
    <mergeCell ref="S23:U23"/>
    <mergeCell ref="M29:O29"/>
    <mergeCell ref="M30:O30"/>
    <mergeCell ref="M31:O31"/>
    <mergeCell ref="M32:O32"/>
    <mergeCell ref="M25:O25"/>
    <mergeCell ref="M26:O26"/>
    <mergeCell ref="M27:O27"/>
    <mergeCell ref="M28:O28"/>
    <mergeCell ref="Q69:S71"/>
    <mergeCell ref="M16:O16"/>
    <mergeCell ref="M17:O17"/>
    <mergeCell ref="M18:O18"/>
    <mergeCell ref="M19:O19"/>
    <mergeCell ref="M20:O20"/>
    <mergeCell ref="M21:O21"/>
    <mergeCell ref="M22:O22"/>
    <mergeCell ref="M23:O23"/>
    <mergeCell ref="M24:O24"/>
    <mergeCell ref="M38:O38"/>
    <mergeCell ref="S35:U35"/>
    <mergeCell ref="S38:U38"/>
    <mergeCell ref="M37:O37"/>
    <mergeCell ref="S37:U37"/>
    <mergeCell ref="M36:O36"/>
    <mergeCell ref="M35:O35"/>
    <mergeCell ref="X139:Y139"/>
    <mergeCell ref="T138:Y138"/>
    <mergeCell ref="T139:U139"/>
    <mergeCell ref="V131:Y131"/>
    <mergeCell ref="V139:W139"/>
    <mergeCell ref="A72:L72"/>
    <mergeCell ref="X105:Y105"/>
    <mergeCell ref="L105:M105"/>
    <mergeCell ref="X72:Y72"/>
    <mergeCell ref="T72:W72"/>
    <mergeCell ref="N99:P99"/>
    <mergeCell ref="R99:S99"/>
    <mergeCell ref="V105:W105"/>
    <mergeCell ref="V104:Y104"/>
    <mergeCell ref="P103:S104"/>
    <mergeCell ref="Q145:S145"/>
    <mergeCell ref="S65:U65"/>
    <mergeCell ref="M65:O65"/>
    <mergeCell ref="M72:P72"/>
    <mergeCell ref="Q72:S72"/>
    <mergeCell ref="R73:S73"/>
    <mergeCell ref="N73:P73"/>
    <mergeCell ref="P105:Q105"/>
    <mergeCell ref="R105:S105"/>
    <mergeCell ref="M69:P71"/>
    <mergeCell ref="I48:K48"/>
    <mergeCell ref="I49:K49"/>
    <mergeCell ref="J54:M54"/>
    <mergeCell ref="A70:L71"/>
    <mergeCell ref="M64:O64"/>
    <mergeCell ref="M56:O56"/>
    <mergeCell ref="M57:O57"/>
    <mergeCell ref="M58:O58"/>
    <mergeCell ref="M59:O59"/>
    <mergeCell ref="M60:O60"/>
    <mergeCell ref="R49:S49"/>
    <mergeCell ref="J131:M131"/>
    <mergeCell ref="P130:S131"/>
    <mergeCell ref="J104:M104"/>
    <mergeCell ref="A69:L69"/>
    <mergeCell ref="A66:Y67"/>
    <mergeCell ref="S64:U64"/>
    <mergeCell ref="J105:K105"/>
    <mergeCell ref="T69:W71"/>
    <mergeCell ref="A73:L73"/>
    <mergeCell ref="X69:Y71"/>
    <mergeCell ref="V54:Y54"/>
    <mergeCell ref="P53:S54"/>
    <mergeCell ref="V55:W55"/>
    <mergeCell ref="X55:Y55"/>
    <mergeCell ref="P55:Q55"/>
    <mergeCell ref="R55:S55"/>
    <mergeCell ref="S56:U56"/>
    <mergeCell ref="S57:U57"/>
    <mergeCell ref="S58:U58"/>
    <mergeCell ref="T42:Y42"/>
    <mergeCell ref="I46:K46"/>
    <mergeCell ref="I45:K45"/>
    <mergeCell ref="I47:K47"/>
    <mergeCell ref="E42:J42"/>
    <mergeCell ref="E43:F43"/>
    <mergeCell ref="I44:K44"/>
    <mergeCell ref="G43:H43"/>
    <mergeCell ref="I43:J43"/>
    <mergeCell ref="P14:S14"/>
    <mergeCell ref="AG69:AG71"/>
    <mergeCell ref="AC69:AC71"/>
    <mergeCell ref="L42:Q42"/>
    <mergeCell ref="L43:M43"/>
    <mergeCell ref="N43:O43"/>
    <mergeCell ref="P43:Q43"/>
    <mergeCell ref="T43:U43"/>
    <mergeCell ref="V43:W43"/>
    <mergeCell ref="X43:Y43"/>
    <mergeCell ref="P139:Q139"/>
    <mergeCell ref="L138:Q138"/>
    <mergeCell ref="J14:M14"/>
    <mergeCell ref="V14:Y14"/>
    <mergeCell ref="J15:K15"/>
    <mergeCell ref="L15:M15"/>
    <mergeCell ref="P15:Q15"/>
    <mergeCell ref="R15:S15"/>
    <mergeCell ref="V15:W15"/>
    <mergeCell ref="X15:Y15"/>
    <mergeCell ref="L139:M139"/>
    <mergeCell ref="N139:O139"/>
    <mergeCell ref="M127:O127"/>
    <mergeCell ref="M126:O126"/>
    <mergeCell ref="B134:I134"/>
    <mergeCell ref="A1:H1"/>
    <mergeCell ref="M109:O109"/>
    <mergeCell ref="M110:O110"/>
    <mergeCell ref="M111:O111"/>
    <mergeCell ref="M112:O112"/>
    <mergeCell ref="M113:O113"/>
    <mergeCell ref="M114:O114"/>
    <mergeCell ref="J55:K55"/>
    <mergeCell ref="L55:M55"/>
    <mergeCell ref="A74:L74"/>
    <mergeCell ref="A75:L75"/>
    <mergeCell ref="A76:L76"/>
    <mergeCell ref="A77:L77"/>
    <mergeCell ref="A78:L78"/>
    <mergeCell ref="A79:L79"/>
    <mergeCell ref="A80:L80"/>
    <mergeCell ref="A81:L81"/>
    <mergeCell ref="A82:L82"/>
    <mergeCell ref="A83:L83"/>
    <mergeCell ref="A84:L84"/>
    <mergeCell ref="A85:L85"/>
    <mergeCell ref="A86:L86"/>
    <mergeCell ref="A87:L87"/>
    <mergeCell ref="A88:L88"/>
    <mergeCell ref="A89:L89"/>
    <mergeCell ref="A90:L90"/>
    <mergeCell ref="A91:L91"/>
    <mergeCell ref="A92:L92"/>
    <mergeCell ref="A93:L93"/>
    <mergeCell ref="A94:L94"/>
    <mergeCell ref="A95:L95"/>
    <mergeCell ref="A96:L96"/>
    <mergeCell ref="A97:L97"/>
    <mergeCell ref="A98:L98"/>
    <mergeCell ref="N74:P74"/>
    <mergeCell ref="N75:P75"/>
    <mergeCell ref="N76:P76"/>
    <mergeCell ref="N77:P77"/>
    <mergeCell ref="N78:P78"/>
    <mergeCell ref="N79:P79"/>
    <mergeCell ref="N80: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V74:W74"/>
    <mergeCell ref="V75:W75"/>
    <mergeCell ref="V76:W76"/>
    <mergeCell ref="V77:W77"/>
    <mergeCell ref="V78:W78"/>
    <mergeCell ref="V79:W79"/>
    <mergeCell ref="V80:W80"/>
    <mergeCell ref="V81:W81"/>
    <mergeCell ref="V82:W82"/>
    <mergeCell ref="V83:W83"/>
    <mergeCell ref="V84:W84"/>
    <mergeCell ref="V85:W85"/>
    <mergeCell ref="V86:W86"/>
    <mergeCell ref="V87:W87"/>
    <mergeCell ref="V88:W88"/>
    <mergeCell ref="V89:W89"/>
    <mergeCell ref="V90:W90"/>
    <mergeCell ref="V91:W91"/>
    <mergeCell ref="V92:W92"/>
    <mergeCell ref="V93:W93"/>
    <mergeCell ref="V94:W94"/>
    <mergeCell ref="V95:W95"/>
    <mergeCell ref="V96:W96"/>
    <mergeCell ref="V97:W97"/>
    <mergeCell ref="V98:W98"/>
  </mergeCells>
  <conditionalFormatting sqref="K35">
    <cfRule type="expression" priority="1" dxfId="0" stopIfTrue="1">
      <formula>NOT(AB26)</formula>
    </cfRule>
  </conditionalFormatting>
  <conditionalFormatting sqref="K38">
    <cfRule type="expression" priority="2" dxfId="0" stopIfTrue="1">
      <formula>NOT(AB2)</formula>
    </cfRule>
    <cfRule type="expression" priority="3" dxfId="0" stopIfTrue="1">
      <formula>NOT(AB27)</formula>
    </cfRule>
  </conditionalFormatting>
  <conditionalFormatting sqref="M35:O35">
    <cfRule type="expression" priority="4" dxfId="0" stopIfTrue="1">
      <formula>NOT(AB28)</formula>
    </cfRule>
  </conditionalFormatting>
  <conditionalFormatting sqref="M38:O38">
    <cfRule type="expression" priority="5" dxfId="0" stopIfTrue="1">
      <formula>NOT(AB3)</formula>
    </cfRule>
    <cfRule type="expression" priority="6" dxfId="0" stopIfTrue="1">
      <formula>NOT(AB29)</formula>
    </cfRule>
  </conditionalFormatting>
  <conditionalFormatting sqref="Q35">
    <cfRule type="expression" priority="7" dxfId="0" stopIfTrue="1">
      <formula>NOT(AB30)</formula>
    </cfRule>
  </conditionalFormatting>
  <conditionalFormatting sqref="Q38">
    <cfRule type="expression" priority="8" dxfId="0" stopIfTrue="1">
      <formula>NOT(AB4)</formula>
    </cfRule>
    <cfRule type="expression" priority="9" dxfId="0" stopIfTrue="1">
      <formula>NOT(AB31)</formula>
    </cfRule>
  </conditionalFormatting>
  <conditionalFormatting sqref="S35:U35">
    <cfRule type="expression" priority="10" dxfId="0" stopIfTrue="1">
      <formula>NOT(AB32)</formula>
    </cfRule>
  </conditionalFormatting>
  <conditionalFormatting sqref="S38:U38">
    <cfRule type="expression" priority="11" dxfId="0" stopIfTrue="1">
      <formula>NOT(AB5)</formula>
    </cfRule>
    <cfRule type="expression" priority="12" dxfId="0" stopIfTrue="1">
      <formula>NOT(AB33)</formula>
    </cfRule>
  </conditionalFormatting>
  <conditionalFormatting sqref="W35">
    <cfRule type="expression" priority="13" dxfId="0" stopIfTrue="1">
      <formula>NOT(AB34)</formula>
    </cfRule>
  </conditionalFormatting>
  <conditionalFormatting sqref="W38">
    <cfRule type="expression" priority="14" dxfId="0" stopIfTrue="1">
      <formula>NOT(AB6)</formula>
    </cfRule>
    <cfRule type="expression" priority="15" dxfId="0" stopIfTrue="1">
      <formula>NOT(AB35)</formula>
    </cfRule>
  </conditionalFormatting>
  <conditionalFormatting sqref="Y35">
    <cfRule type="expression" priority="16" dxfId="0" stopIfTrue="1">
      <formula>NOT(AB36)</formula>
    </cfRule>
  </conditionalFormatting>
  <conditionalFormatting sqref="Y38">
    <cfRule type="expression" priority="17" dxfId="0" stopIfTrue="1">
      <formula>NOT(AB7)</formula>
    </cfRule>
    <cfRule type="expression" priority="18" dxfId="0" stopIfTrue="1">
      <formula>NOT(AB37)</formula>
    </cfRule>
  </conditionalFormatting>
  <conditionalFormatting sqref="E49">
    <cfRule type="expression" priority="19" dxfId="0" stopIfTrue="1">
      <formula>NOT(AB8)</formula>
    </cfRule>
    <cfRule type="expression" priority="20" dxfId="0" stopIfTrue="1">
      <formula>NOT(AB38)</formula>
    </cfRule>
  </conditionalFormatting>
  <conditionalFormatting sqref="I49:K49">
    <cfRule type="expression" priority="21" dxfId="0" stopIfTrue="1">
      <formula>NOT(AB9)</formula>
    </cfRule>
    <cfRule type="expression" priority="22" dxfId="0" stopIfTrue="1">
      <formula>NOT(AB39)</formula>
    </cfRule>
  </conditionalFormatting>
  <conditionalFormatting sqref="M49">
    <cfRule type="expression" priority="23" dxfId="0" stopIfTrue="1">
      <formula>NOT(AB10)</formula>
    </cfRule>
    <cfRule type="expression" priority="24" dxfId="0" stopIfTrue="1">
      <formula>NOT(AB40)</formula>
    </cfRule>
  </conditionalFormatting>
  <conditionalFormatting sqref="Q49">
    <cfRule type="expression" priority="25" dxfId="0" stopIfTrue="1">
      <formula>NOT(AB11)</formula>
    </cfRule>
    <cfRule type="expression" priority="26" dxfId="0" stopIfTrue="1">
      <formula>NOT(AB41)</formula>
    </cfRule>
  </conditionalFormatting>
  <conditionalFormatting sqref="U49">
    <cfRule type="expression" priority="27" dxfId="0" stopIfTrue="1">
      <formula>NOT(AB12)</formula>
    </cfRule>
    <cfRule type="expression" priority="28" dxfId="0" stopIfTrue="1">
      <formula>NOT(AB42)</formula>
    </cfRule>
  </conditionalFormatting>
  <conditionalFormatting sqref="Y49">
    <cfRule type="expression" priority="29" dxfId="0" stopIfTrue="1">
      <formula>NOT(AB13)</formula>
    </cfRule>
    <cfRule type="expression" priority="30" dxfId="0" stopIfTrue="1">
      <formula>NOT(AB43)</formula>
    </cfRule>
  </conditionalFormatting>
  <conditionalFormatting sqref="K64">
    <cfRule type="expression" priority="31" dxfId="0" stopIfTrue="1">
      <formula>NOT(AB44)</formula>
    </cfRule>
  </conditionalFormatting>
  <conditionalFormatting sqref="M64:O64">
    <cfRule type="expression" priority="32" dxfId="0" stopIfTrue="1">
      <formula>NOT(AB45)</formula>
    </cfRule>
  </conditionalFormatting>
  <conditionalFormatting sqref="Q64">
    <cfRule type="expression" priority="33" dxfId="0" stopIfTrue="1">
      <formula>NOT(AB46)</formula>
    </cfRule>
  </conditionalFormatting>
  <conditionalFormatting sqref="S64:U64">
    <cfRule type="expression" priority="34" dxfId="0" stopIfTrue="1">
      <formula>NOT(AB47)</formula>
    </cfRule>
  </conditionalFormatting>
  <conditionalFormatting sqref="W64">
    <cfRule type="expression" priority="35" dxfId="0" stopIfTrue="1">
      <formula>NOT(AB48)</formula>
    </cfRule>
  </conditionalFormatting>
  <conditionalFormatting sqref="Y64">
    <cfRule type="expression" priority="36" dxfId="0" stopIfTrue="1">
      <formula>NOT(AB49)</formula>
    </cfRule>
  </conditionalFormatting>
  <conditionalFormatting sqref="N99:P99">
    <cfRule type="expression" priority="37" dxfId="0" stopIfTrue="1">
      <formula>NOT(AB14)</formula>
    </cfRule>
    <cfRule type="expression" priority="38" dxfId="0" stopIfTrue="1">
      <formula>NOT(AB50)</formula>
    </cfRule>
  </conditionalFormatting>
  <conditionalFormatting sqref="R99:S99">
    <cfRule type="expression" priority="39" dxfId="0" stopIfTrue="1">
      <formula>NOT(AB15)</formula>
    </cfRule>
    <cfRule type="expression" priority="40" dxfId="0" stopIfTrue="1">
      <formula>NOT(AB51)</formula>
    </cfRule>
  </conditionalFormatting>
  <conditionalFormatting sqref="K126">
    <cfRule type="expression" priority="41" dxfId="0" stopIfTrue="1">
      <formula>NOT(AB16)</formula>
    </cfRule>
    <cfRule type="expression" priority="42" dxfId="0" stopIfTrue="1">
      <formula>NOT(AB52)</formula>
    </cfRule>
  </conditionalFormatting>
  <conditionalFormatting sqref="M126:O126">
    <cfRule type="expression" priority="43" dxfId="0" stopIfTrue="1">
      <formula>NOT(AB17)</formula>
    </cfRule>
    <cfRule type="expression" priority="44" dxfId="0" stopIfTrue="1">
      <formula>NOT(AB53)</formula>
    </cfRule>
  </conditionalFormatting>
  <conditionalFormatting sqref="Q126">
    <cfRule type="expression" priority="45" dxfId="0" stopIfTrue="1">
      <formula>NOT(AB18)</formula>
    </cfRule>
    <cfRule type="expression" priority="46" dxfId="0" stopIfTrue="1">
      <formula>NOT(AB54)</formula>
    </cfRule>
  </conditionalFormatting>
  <conditionalFormatting sqref="S126:U126">
    <cfRule type="expression" priority="47" dxfId="0" stopIfTrue="1">
      <formula>NOT(AB19)</formula>
    </cfRule>
    <cfRule type="expression" priority="48" dxfId="0" stopIfTrue="1">
      <formula>NOT(AB55)</formula>
    </cfRule>
  </conditionalFormatting>
  <conditionalFormatting sqref="W126">
    <cfRule type="expression" priority="49" dxfId="0" stopIfTrue="1">
      <formula>NOT(AB56)</formula>
    </cfRule>
  </conditionalFormatting>
  <conditionalFormatting sqref="Y126">
    <cfRule type="expression" priority="50" dxfId="0" stopIfTrue="1">
      <formula>NOT(AB21)</formula>
    </cfRule>
    <cfRule type="expression" priority="51" dxfId="0" stopIfTrue="1">
      <formula>NOT(AB57)</formula>
    </cfRule>
  </conditionalFormatting>
  <conditionalFormatting sqref="M145">
    <cfRule type="expression" priority="52" dxfId="0" stopIfTrue="1">
      <formula>NOT(AB22)</formula>
    </cfRule>
    <cfRule type="expression" priority="53" dxfId="0" stopIfTrue="1">
      <formula>NOT(AB58)</formula>
    </cfRule>
  </conditionalFormatting>
  <conditionalFormatting sqref="Q145:S145">
    <cfRule type="expression" priority="54" dxfId="0" stopIfTrue="1">
      <formula>NOT(AB23)</formula>
    </cfRule>
    <cfRule type="expression" priority="55" dxfId="0" stopIfTrue="1">
      <formula>NOT(AB59)</formula>
    </cfRule>
  </conditionalFormatting>
  <conditionalFormatting sqref="U145">
    <cfRule type="expression" priority="56" dxfId="0" stopIfTrue="1">
      <formula>NOT(AB24)</formula>
    </cfRule>
    <cfRule type="expression" priority="57" dxfId="0" stopIfTrue="1">
      <formula>NOT(AB60)</formula>
    </cfRule>
  </conditionalFormatting>
  <conditionalFormatting sqref="Y145">
    <cfRule type="expression" priority="58" dxfId="0" stopIfTrue="1">
      <formula>NOT(AB25)</formula>
    </cfRule>
    <cfRule type="expression" priority="59" dxfId="0" stopIfTrue="1">
      <formula>NOT(AB61)</formula>
    </cfRule>
  </conditionalFormatting>
  <conditionalFormatting sqref="AB2:AB61">
    <cfRule type="cellIs" priority="60" dxfId="0" operator="equal" stopIfTrue="1">
      <formula>FALSE</formula>
    </cfRule>
  </conditionalFormatting>
  <dataValidations count="4">
    <dataValidation type="whole" operator="lessThan" allowBlank="1" showInputMessage="1" showErrorMessage="1" errorTitle="Celda de Tipo Numérico Entero" sqref="Q140:S145 Y140:Y145 U140:U145 O140:O143 W140:W143 M140:M145 T18:U38 S16:S38 I44:I49 M16:M38 O99:P99 Y106:Y126 E44:E49 M56:O64 Y73:Y99 W56:W64 Y56:Y64 Q56:Q64 S56:U64 K56:K64 G44:G47 N16:O37 M44:M49 O44:O47 Q44:Q49 U44:U49 W44:W47 Y44:Y49 Y16:Y38 W16:W38 J44:K48 Q16:Q38 K16:K38 S106:U126 W106:W126 M106:O126 Q106:Q126 K106:K126 N73:N99 R73:R99 S99">
      <formula1>9.99999999999999E+187</formula1>
    </dataValidation>
    <dataValidation type="decimal" operator="lessThan" allowBlank="1" showInputMessage="1" showErrorMessage="1" errorTitle="Celda de Tipo Numérico Decimal" sqref="W133:W134 K133:K134 Q133:Q134 Y127 Y65 S65:U65 M65:O65 M127:O127 S127:U127 V73:V99 W99">
      <formula1>9.99999999999999E+187</formula1>
    </dataValidation>
    <dataValidation operator="lessThan" allowBlank="1" showInputMessage="1" showErrorMessage="1" errorTitle="Celda de Tipo Texto" sqref="M134 S134 Y134 A73:A98 B98:L98"/>
    <dataValidation type="whole" operator="greaterThan" allowBlank="1" showInputMessage="1" showErrorMessage="1" sqref="Y39">
      <formula1>9.99999999999999E+201</formula1>
    </dataValidation>
  </dataValidations>
  <printOptions horizontalCentered="1"/>
  <pageMargins left="0.5905511811023623" right="0.5905511811023623" top="0.7874015748031497" bottom="0.7874015748031497" header="0" footer="0.3937007874015748"/>
  <pageSetup horizontalDpi="600" verticalDpi="600" orientation="landscape" paperSize="9" scale="50" r:id="rId2"/>
  <rowBreaks count="6" manualBreakCount="6">
    <brk id="41" max="24" man="1"/>
    <brk id="52" max="24" man="1"/>
    <brk id="68" max="255" man="1"/>
    <brk id="102" max="24" man="1"/>
    <brk id="129" max="255" man="1"/>
    <brk id="137" max="255" man="1"/>
  </rowBreaks>
  <legacyDrawing r:id="rId1"/>
</worksheet>
</file>

<file path=xl/worksheets/sheet11.xml><?xml version="1.0" encoding="utf-8"?>
<worksheet xmlns="http://schemas.openxmlformats.org/spreadsheetml/2006/main" xmlns:r="http://schemas.openxmlformats.org/officeDocument/2006/relationships">
  <sheetPr codeName="Hoja10"/>
  <dimension ref="A1:AC33"/>
  <sheetViews>
    <sheetView zoomScale="90" zoomScaleNormal="90" workbookViewId="0" topLeftCell="A1">
      <selection activeCell="J27" sqref="J27"/>
    </sheetView>
  </sheetViews>
  <sheetFormatPr defaultColWidth="11.421875" defaultRowHeight="12.75"/>
  <cols>
    <col min="1" max="2" width="11.421875" style="5" customWidth="1"/>
    <col min="3" max="3" width="16.57421875" style="5" customWidth="1"/>
    <col min="4" max="4" width="8.421875" style="5" customWidth="1"/>
    <col min="5" max="7" width="11.421875" style="5" customWidth="1"/>
    <col min="8" max="8" width="47.7109375" style="5" customWidth="1"/>
    <col min="9" max="26" width="11.421875" style="5" customWidth="1"/>
    <col min="27" max="27" width="15.8515625" style="5" customWidth="1"/>
    <col min="28" max="28" width="17.57421875" style="5" customWidth="1"/>
    <col min="29" max="16384" width="11.421875" style="5" customWidth="1"/>
  </cols>
  <sheetData>
    <row r="1" spans="1:29" s="7" customFormat="1" ht="40.5" customHeight="1">
      <c r="A1" s="748" t="s">
        <v>897</v>
      </c>
      <c r="B1" s="748"/>
      <c r="C1" s="748"/>
      <c r="D1" s="748"/>
      <c r="E1" s="748"/>
      <c r="F1" s="748"/>
      <c r="G1" s="748"/>
      <c r="H1" s="748"/>
      <c r="I1" s="386"/>
      <c r="J1" s="386"/>
      <c r="K1" s="386"/>
      <c r="L1" s="386"/>
      <c r="M1" s="386"/>
      <c r="N1" s="386"/>
      <c r="O1" s="386"/>
      <c r="P1" s="386"/>
      <c r="Q1" s="386"/>
      <c r="R1" s="386"/>
      <c r="S1" s="386"/>
      <c r="T1" s="386"/>
      <c r="U1" s="386"/>
      <c r="AA1" s="387" t="s">
        <v>923</v>
      </c>
      <c r="AB1" s="387" t="s">
        <v>1720</v>
      </c>
      <c r="AC1" s="7" t="s">
        <v>1701</v>
      </c>
    </row>
    <row r="2" spans="1:29" s="2" customFormat="1" ht="11.25">
      <c r="A2" s="1082" t="s">
        <v>1785</v>
      </c>
      <c r="B2" s="1083"/>
      <c r="C2" s="1083"/>
      <c r="D2" s="1083"/>
      <c r="E2" s="1083"/>
      <c r="F2" s="1083"/>
      <c r="G2" s="1083"/>
      <c r="H2" s="1084"/>
      <c r="AA2" s="3" t="s">
        <v>524</v>
      </c>
      <c r="AB2" s="3" t="s">
        <v>526</v>
      </c>
      <c r="AC2" s="2" t="s">
        <v>1702</v>
      </c>
    </row>
    <row r="3" spans="1:29" s="2" customFormat="1" ht="11.25">
      <c r="A3" s="1085"/>
      <c r="B3" s="1086"/>
      <c r="C3" s="1086"/>
      <c r="D3" s="1086"/>
      <c r="E3" s="1086"/>
      <c r="F3" s="1086"/>
      <c r="G3" s="1086"/>
      <c r="H3" s="1087"/>
      <c r="AA3" s="3" t="s">
        <v>525</v>
      </c>
      <c r="AB3" s="3" t="s">
        <v>527</v>
      </c>
      <c r="AC3" s="2" t="s">
        <v>1703</v>
      </c>
    </row>
    <row r="4" spans="1:8" s="2" customFormat="1" ht="11.25">
      <c r="A4" s="726" t="s">
        <v>1588</v>
      </c>
      <c r="B4" s="727"/>
      <c r="C4" s="724"/>
      <c r="D4" s="725" t="str">
        <f>IF(ISBLANK(s000.00100),"",s000.00100)</f>
        <v>F.T.A. SANTANDER FINANCIACION 3</v>
      </c>
      <c r="E4" s="718"/>
      <c r="F4" s="718"/>
      <c r="G4" s="718"/>
      <c r="H4" s="719"/>
    </row>
    <row r="5" spans="1:8" s="2" customFormat="1" ht="11.25">
      <c r="A5" s="6" t="s">
        <v>1589</v>
      </c>
      <c r="B5" s="212"/>
      <c r="C5" s="213"/>
      <c r="D5" s="725">
        <f>IF(ISBLANK(s000.00130),"",s000.00130)</f>
      </c>
      <c r="E5" s="718"/>
      <c r="F5" s="718"/>
      <c r="G5" s="718"/>
      <c r="H5" s="719"/>
    </row>
    <row r="6" spans="1:8" s="2" customFormat="1" ht="11.25">
      <c r="A6" s="726" t="s">
        <v>1590</v>
      </c>
      <c r="B6" s="727"/>
      <c r="C6" s="724"/>
      <c r="D6" s="725" t="str">
        <f>IF(ISBLANK(s000.00150),"",s000.00150)</f>
        <v>Santander de Titulizacion S.G.F.T., S.A</v>
      </c>
      <c r="E6" s="718"/>
      <c r="F6" s="718"/>
      <c r="G6" s="718"/>
      <c r="H6" s="719"/>
    </row>
    <row r="7" spans="1:8" s="2" customFormat="1" ht="11.25">
      <c r="A7" s="726" t="s">
        <v>2233</v>
      </c>
      <c r="B7" s="727"/>
      <c r="C7" s="724"/>
      <c r="D7" s="725" t="str">
        <f>IF(ISBLANK(s000.00170),"",s000.00170)</f>
        <v>No</v>
      </c>
      <c r="E7" s="718"/>
      <c r="F7" s="718"/>
      <c r="G7" s="718"/>
      <c r="H7" s="719"/>
    </row>
    <row r="8" spans="1:8" s="2" customFormat="1" ht="11.25">
      <c r="A8" s="726" t="s">
        <v>2232</v>
      </c>
      <c r="B8" s="727"/>
      <c r="C8" s="724"/>
      <c r="D8" s="725" t="str">
        <f>IF(ISBLANK(s000.00180),"",s000.00180)</f>
        <v>Primer Semestre</v>
      </c>
      <c r="E8" s="718"/>
      <c r="F8" s="718"/>
      <c r="G8" s="718"/>
      <c r="H8" s="719"/>
    </row>
    <row r="9" spans="1:8" s="2" customFormat="1" ht="11.25">
      <c r="A9" s="1088"/>
      <c r="B9" s="1089"/>
      <c r="C9" s="1089"/>
      <c r="D9" s="1089"/>
      <c r="E9" s="1089"/>
      <c r="F9" s="1089"/>
      <c r="G9" s="1089"/>
      <c r="H9" s="1090"/>
    </row>
    <row r="10" spans="1:8" s="2" customFormat="1" ht="11.25">
      <c r="A10" s="1091"/>
      <c r="B10" s="1092"/>
      <c r="C10" s="1092"/>
      <c r="D10" s="1092"/>
      <c r="E10" s="1092"/>
      <c r="F10" s="1092"/>
      <c r="G10" s="1092"/>
      <c r="H10" s="1093"/>
    </row>
    <row r="11" spans="1:8" s="2" customFormat="1" ht="11.25">
      <c r="A11" s="780" t="s">
        <v>1786</v>
      </c>
      <c r="B11" s="781"/>
      <c r="C11" s="781"/>
      <c r="D11" s="781"/>
      <c r="E11" s="781"/>
      <c r="F11" s="781"/>
      <c r="G11" s="781"/>
      <c r="H11" s="782"/>
    </row>
    <row r="12" spans="1:8" s="2" customFormat="1" ht="26.25" customHeight="1">
      <c r="A12" s="686" t="s">
        <v>1128</v>
      </c>
      <c r="B12" s="786"/>
      <c r="C12" s="787"/>
      <c r="D12" s="787"/>
      <c r="E12" s="787"/>
      <c r="F12" s="787"/>
      <c r="G12" s="787"/>
      <c r="H12" s="788"/>
    </row>
    <row r="13" spans="1:8" s="2" customFormat="1" ht="11.25">
      <c r="A13" s="736"/>
      <c r="B13" s="736"/>
      <c r="C13" s="736"/>
      <c r="D13" s="736"/>
      <c r="E13" s="736"/>
      <c r="F13" s="736"/>
      <c r="G13" s="736"/>
      <c r="H13" s="737"/>
    </row>
    <row r="14" spans="1:8" s="2" customFormat="1" ht="11.25">
      <c r="A14" s="739"/>
      <c r="B14" s="739"/>
      <c r="C14" s="739"/>
      <c r="D14" s="739"/>
      <c r="E14" s="739"/>
      <c r="F14" s="739"/>
      <c r="G14" s="739"/>
      <c r="H14" s="728"/>
    </row>
    <row r="15" spans="1:8" s="2" customFormat="1" ht="11.25">
      <c r="A15" s="739"/>
      <c r="B15" s="739"/>
      <c r="C15" s="739"/>
      <c r="D15" s="739"/>
      <c r="E15" s="739"/>
      <c r="F15" s="739"/>
      <c r="G15" s="739"/>
      <c r="H15" s="728"/>
    </row>
    <row r="16" spans="1:8" s="2" customFormat="1" ht="11.25">
      <c r="A16" s="730"/>
      <c r="B16" s="730"/>
      <c r="C16" s="730"/>
      <c r="D16" s="730"/>
      <c r="E16" s="730"/>
      <c r="F16" s="730"/>
      <c r="G16" s="730"/>
      <c r="H16" s="731"/>
    </row>
    <row r="17" spans="1:8" ht="11.25">
      <c r="A17" s="1094"/>
      <c r="B17" s="1095"/>
      <c r="C17" s="1095"/>
      <c r="D17" s="1095"/>
      <c r="E17" s="1095"/>
      <c r="F17" s="1095"/>
      <c r="G17" s="1095"/>
      <c r="H17" s="1096"/>
    </row>
    <row r="18" spans="1:8" ht="11.25">
      <c r="A18" s="755"/>
      <c r="B18" s="756"/>
      <c r="C18" s="756"/>
      <c r="D18" s="756"/>
      <c r="E18" s="756"/>
      <c r="F18" s="756"/>
      <c r="G18" s="756"/>
      <c r="H18" s="757"/>
    </row>
    <row r="19" spans="1:8" s="2" customFormat="1" ht="11.25">
      <c r="A19" s="780" t="s">
        <v>1787</v>
      </c>
      <c r="B19" s="781"/>
      <c r="C19" s="781"/>
      <c r="D19" s="781"/>
      <c r="E19" s="781"/>
      <c r="F19" s="781"/>
      <c r="G19" s="781"/>
      <c r="H19" s="782"/>
    </row>
    <row r="20" spans="1:8" s="2" customFormat="1" ht="24.75" customHeight="1">
      <c r="A20" s="685" t="s">
        <v>1129</v>
      </c>
      <c r="B20" s="786"/>
      <c r="C20" s="787"/>
      <c r="D20" s="787"/>
      <c r="E20" s="787"/>
      <c r="F20" s="787"/>
      <c r="G20" s="787"/>
      <c r="H20" s="788"/>
    </row>
    <row r="21" spans="1:8" s="2" customFormat="1" ht="11.25">
      <c r="A21" s="736"/>
      <c r="B21" s="736"/>
      <c r="C21" s="736"/>
      <c r="D21" s="736"/>
      <c r="E21" s="736"/>
      <c r="F21" s="736"/>
      <c r="G21" s="736"/>
      <c r="H21" s="737"/>
    </row>
    <row r="22" spans="1:8" s="2" customFormat="1" ht="11.25">
      <c r="A22" s="739"/>
      <c r="B22" s="739"/>
      <c r="C22" s="739"/>
      <c r="D22" s="739"/>
      <c r="E22" s="739"/>
      <c r="F22" s="739"/>
      <c r="G22" s="739"/>
      <c r="H22" s="728"/>
    </row>
    <row r="23" spans="1:8" s="2" customFormat="1" ht="11.25">
      <c r="A23" s="739"/>
      <c r="B23" s="739"/>
      <c r="C23" s="739"/>
      <c r="D23" s="739"/>
      <c r="E23" s="739"/>
      <c r="F23" s="739"/>
      <c r="G23" s="739"/>
      <c r="H23" s="728"/>
    </row>
    <row r="24" spans="1:8" s="2" customFormat="1" ht="11.25">
      <c r="A24" s="730"/>
      <c r="B24" s="730"/>
      <c r="C24" s="730"/>
      <c r="D24" s="730"/>
      <c r="E24" s="730"/>
      <c r="F24" s="730"/>
      <c r="G24" s="730"/>
      <c r="H24" s="731"/>
    </row>
    <row r="25" spans="1:8" s="2" customFormat="1" ht="11.25">
      <c r="A25" s="538" t="s">
        <v>1790</v>
      </c>
      <c r="B25" s="539"/>
      <c r="C25" s="539"/>
      <c r="D25" s="539"/>
      <c r="E25" s="539"/>
      <c r="F25" s="539"/>
      <c r="G25" s="539"/>
      <c r="H25" s="540"/>
    </row>
    <row r="26" spans="1:8" s="2" customFormat="1" ht="11.25">
      <c r="A26" s="4" t="s">
        <v>267</v>
      </c>
      <c r="B26" s="786"/>
      <c r="C26" s="787"/>
      <c r="D26" s="787"/>
      <c r="E26" s="787"/>
      <c r="F26" s="787"/>
      <c r="G26" s="787"/>
      <c r="H26" s="788"/>
    </row>
    <row r="27" spans="1:8" s="2" customFormat="1" ht="11.25">
      <c r="A27" s="1097"/>
      <c r="B27" s="1098"/>
      <c r="C27" s="1098"/>
      <c r="D27" s="1098"/>
      <c r="E27" s="1098"/>
      <c r="F27" s="1098"/>
      <c r="G27" s="1098"/>
      <c r="H27" s="1099"/>
    </row>
    <row r="28" spans="1:8" s="2" customFormat="1" ht="11.25">
      <c r="A28" s="1100"/>
      <c r="B28" s="1101"/>
      <c r="C28" s="1101"/>
      <c r="D28" s="1101"/>
      <c r="E28" s="1101"/>
      <c r="F28" s="1101"/>
      <c r="G28" s="1101"/>
      <c r="H28" s="1102"/>
    </row>
    <row r="29" spans="1:8" s="2" customFormat="1" ht="11.25">
      <c r="A29" s="1100"/>
      <c r="B29" s="1101"/>
      <c r="C29" s="1101"/>
      <c r="D29" s="1101"/>
      <c r="E29" s="1101"/>
      <c r="F29" s="1101"/>
      <c r="G29" s="1101"/>
      <c r="H29" s="1102"/>
    </row>
    <row r="30" spans="1:8" s="2" customFormat="1" ht="11.25">
      <c r="A30" s="1103"/>
      <c r="B30" s="1104"/>
      <c r="C30" s="1104"/>
      <c r="D30" s="1104"/>
      <c r="E30" s="1104"/>
      <c r="F30" s="1104"/>
      <c r="G30" s="1104"/>
      <c r="H30" s="1105"/>
    </row>
    <row r="31" spans="1:8" s="2" customFormat="1" ht="11.25">
      <c r="A31" s="5"/>
      <c r="B31" s="5"/>
      <c r="C31" s="5"/>
      <c r="D31" s="5"/>
      <c r="E31" s="5"/>
      <c r="F31" s="5"/>
      <c r="G31" s="5"/>
      <c r="H31" s="5"/>
    </row>
    <row r="33" ht="11.25">
      <c r="H33" s="687"/>
    </row>
  </sheetData>
  <sheetProtection/>
  <mergeCells count="22">
    <mergeCell ref="B20:H20"/>
    <mergeCell ref="A21:H24"/>
    <mergeCell ref="B26:H26"/>
    <mergeCell ref="A27:H30"/>
    <mergeCell ref="B12:H12"/>
    <mergeCell ref="A13:H16"/>
    <mergeCell ref="A17:H18"/>
    <mergeCell ref="A19:H19"/>
    <mergeCell ref="A8:C8"/>
    <mergeCell ref="D8:H8"/>
    <mergeCell ref="A9:H10"/>
    <mergeCell ref="A11:H11"/>
    <mergeCell ref="D5:H5"/>
    <mergeCell ref="A6:C6"/>
    <mergeCell ref="D6:H6"/>
    <mergeCell ref="A7:C7"/>
    <mergeCell ref="D7:H7"/>
    <mergeCell ref="A1:H1"/>
    <mergeCell ref="A2:H2"/>
    <mergeCell ref="A3:H3"/>
    <mergeCell ref="A4:C4"/>
    <mergeCell ref="D4:H4"/>
  </mergeCells>
  <printOptions/>
  <pageMargins left="0.75" right="0.75" top="1" bottom="1" header="0" footer="0"/>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Hoja12"/>
  <dimension ref="A1:C363"/>
  <sheetViews>
    <sheetView zoomScale="90" zoomScaleNormal="90" workbookViewId="0" topLeftCell="A1">
      <selection activeCell="D21" sqref="D21"/>
    </sheetView>
  </sheetViews>
  <sheetFormatPr defaultColWidth="11.421875" defaultRowHeight="12.75"/>
  <cols>
    <col min="1" max="1" width="11.57421875" style="5" customWidth="1"/>
    <col min="2" max="2" width="90.140625" style="46" customWidth="1"/>
    <col min="3" max="3" width="13.57421875" style="5" customWidth="1"/>
    <col min="4" max="5" width="51.8515625" style="5" customWidth="1"/>
    <col min="6" max="16384" width="11.421875" style="5" customWidth="1"/>
  </cols>
  <sheetData>
    <row r="1" spans="1:3" ht="12.75">
      <c r="A1" s="45"/>
      <c r="B1" s="10" t="s">
        <v>1391</v>
      </c>
      <c r="C1" s="10" t="s">
        <v>1392</v>
      </c>
    </row>
    <row r="2" spans="2:3" ht="11.25">
      <c r="B2" s="11" t="s">
        <v>985</v>
      </c>
      <c r="C2" s="12" t="b">
        <f>s010.00500=s010.01000</f>
        <v>1</v>
      </c>
    </row>
    <row r="3" spans="2:3" ht="11.25">
      <c r="B3" s="11" t="s">
        <v>986</v>
      </c>
      <c r="C3" s="12" t="b">
        <f>s010.01500=s010.02000</f>
        <v>1</v>
      </c>
    </row>
    <row r="4" spans="2:3" ht="11.25">
      <c r="B4" s="11" t="s">
        <v>987</v>
      </c>
      <c r="C4" s="12" t="b">
        <f>s010.00940=s010.01940+s040.06040</f>
        <v>1</v>
      </c>
    </row>
    <row r="5" spans="2:3" ht="11.25">
      <c r="B5" s="11" t="s">
        <v>988</v>
      </c>
      <c r="C5" s="12" t="b">
        <f>s010.00950=s010.01940+s040.06140</f>
        <v>0</v>
      </c>
    </row>
    <row r="6" spans="2:3" ht="11.25">
      <c r="B6" s="11" t="s">
        <v>989</v>
      </c>
      <c r="C6" s="12" t="b">
        <f>IF(NOT(ISBLANK(s010.00108)),IF(s010.00108&lt;0,TRUE,FALSE),TRUE)</f>
        <v>1</v>
      </c>
    </row>
    <row r="7" spans="2:3" ht="11.25">
      <c r="B7" s="11" t="s">
        <v>990</v>
      </c>
      <c r="C7" s="12" t="b">
        <f>IF(NOT(ISBLANK(s010.01108)),IF(s010.01108&lt;0,TRUE,FALSE),TRUE)</f>
        <v>1</v>
      </c>
    </row>
    <row r="8" spans="2:3" ht="11.25">
      <c r="B8" s="11" t="s">
        <v>991</v>
      </c>
      <c r="C8" s="12" t="b">
        <f>IF(NOT(ISBLANK(s010.00221)),IF(s010.00221&lt;0,TRUE,FALSE),TRUE)</f>
        <v>1</v>
      </c>
    </row>
    <row r="9" spans="2:3" ht="11.25">
      <c r="B9" s="11" t="s">
        <v>992</v>
      </c>
      <c r="C9" s="12" t="b">
        <f>IF(NOT(ISBLANK(s010.01221)),IF(s010.01221&lt;0,TRUE,FALSE),TRUE)</f>
        <v>1</v>
      </c>
    </row>
    <row r="10" spans="2:3" ht="22.5">
      <c r="B10" s="11" t="s">
        <v>993</v>
      </c>
      <c r="C10" s="12" t="b">
        <f>s010.00100=s010.00101+s010.00102+s010.00103+s010.00104+s010.00105+s010.00106+s010.00107+s010.00108+s010.00109+s010.00110</f>
        <v>1</v>
      </c>
    </row>
    <row r="11" spans="2:3" ht="22.5">
      <c r="B11" s="11" t="s">
        <v>1784</v>
      </c>
      <c r="C11" s="12" t="b">
        <f>s010.01100=s010.01101+s010.01102+s010.01103+s010.01104+s010.01105+s010.01106+s010.01107+s010.01108+s010.01109+s010.01110</f>
        <v>1</v>
      </c>
    </row>
    <row r="12" spans="2:3" ht="33.75">
      <c r="B12" s="28" t="s">
        <v>1793</v>
      </c>
      <c r="C12" s="12" t="b">
        <f>s010.00200=s010.00201+s010.00202+s010.00203+s010.00204+s010.00205+s010.00206+s010.00207+s010.00208+s010.00209+s010.00210+s010.00211+s010.00212+s010.00213+s010.00214+s010.00215+s010.00216+s010.00217+s010.00218+s010.00219+s010.00220+s010.00221+s010.00222+s010.00223</f>
        <v>1</v>
      </c>
    </row>
    <row r="13" spans="2:3" ht="33.75">
      <c r="B13" s="28" t="s">
        <v>1794</v>
      </c>
      <c r="C13" s="12" t="b">
        <f>s010.01200=s010.01201+s010.01202+s010.01203+s010.01204+s010.01205+s010.01206+s010.01207+s010.01208+s010.01209+s010.01210+s010.01211+s010.01212+s010.01213+s010.01214+s010.01215+s010.01216+s010.01217+s010.01218+s010.01219+s010.01220+s010.01221+s010.01222+s010.01223</f>
        <v>1</v>
      </c>
    </row>
    <row r="14" spans="2:3" ht="11.25">
      <c r="B14" s="11" t="s">
        <v>1795</v>
      </c>
      <c r="C14" s="12" t="b">
        <f>s010.00230=s010.00231+s010.00232</f>
        <v>1</v>
      </c>
    </row>
    <row r="15" spans="2:3" ht="11.25">
      <c r="B15" s="11" t="s">
        <v>1796</v>
      </c>
      <c r="C15" s="12" t="b">
        <f>s010.01230=s010.01231+s010.01232</f>
        <v>1</v>
      </c>
    </row>
    <row r="16" spans="2:3" ht="11.25">
      <c r="B16" s="11" t="s">
        <v>1797</v>
      </c>
      <c r="C16" s="12" t="b">
        <f>s010.00240=s010.00241+s010.00242</f>
        <v>1</v>
      </c>
    </row>
    <row r="17" spans="2:3" ht="11.25">
      <c r="B17" s="11" t="s">
        <v>1798</v>
      </c>
      <c r="C17" s="12" t="b">
        <f>s010.01240=s010.01241+s010.01242</f>
        <v>1</v>
      </c>
    </row>
    <row r="18" spans="2:3" ht="11.25">
      <c r="B18" s="11" t="s">
        <v>1799</v>
      </c>
      <c r="C18" s="12" t="b">
        <f>s010.00010=s010.00100+s010.00200+s010.00230+s010.00240</f>
        <v>1</v>
      </c>
    </row>
    <row r="19" spans="2:3" ht="11.25">
      <c r="B19" s="11" t="s">
        <v>1800</v>
      </c>
      <c r="C19" s="12" t="b">
        <f>s010.01010=s010.01100+s010.01200+s010.01230+s010.01240</f>
        <v>1</v>
      </c>
    </row>
    <row r="20" spans="2:3" ht="11.25">
      <c r="B20" s="11" t="s">
        <v>1801</v>
      </c>
      <c r="C20" s="12" t="b">
        <f>s010.00008=s010.00010+s010.00250+s010.00260</f>
        <v>1</v>
      </c>
    </row>
    <row r="21" spans="2:3" ht="11.25">
      <c r="B21" s="11" t="s">
        <v>1802</v>
      </c>
      <c r="C21" s="12" t="b">
        <f>s010.01008=s010.01010+s010.01250+s010.01260</f>
        <v>1</v>
      </c>
    </row>
    <row r="22" spans="2:3" ht="22.5">
      <c r="B22" s="11" t="s">
        <v>1317</v>
      </c>
      <c r="C22" s="12" t="b">
        <f>s010.00310=s010.00311+s010.00312+s010.00313+s010.00314+s010.00315+s010.00316+s010.00317+s010.00318+s010.00319+s010.00320</f>
        <v>1</v>
      </c>
    </row>
    <row r="23" spans="2:3" ht="22.5">
      <c r="B23" s="11" t="s">
        <v>589</v>
      </c>
      <c r="C23" s="12" t="b">
        <f>s010.01310=s010.01311+s010.01312+s010.01313+s010.01314+s010.01315+s010.01316+s010.01317+s010.01318+s010.01319+s010.01320</f>
        <v>1</v>
      </c>
    </row>
    <row r="24" spans="2:3" ht="33.75">
      <c r="B24" s="28" t="s">
        <v>590</v>
      </c>
      <c r="C24" s="12" t="b">
        <f>s010.00400=s010.00401+s010.00402+s010.00403+s010.00404+s010.00405+s010.00406+s010.00407+s010.00408+s010.00409+s010.00410+s010.00411+s010.00412+s010.00413+s010.00414+s010.00415+s010.00416+s010.00417+s010.00418+s010.00419+s010.00420+s010.00421+s010.00422+s010.00423</f>
        <v>1</v>
      </c>
    </row>
    <row r="25" spans="2:3" ht="33.75">
      <c r="B25" s="28" t="s">
        <v>591</v>
      </c>
      <c r="C25" s="12" t="b">
        <f>s010.01400=s010.01401+s010.01402+s010.01403+s010.01404+s010.01405+s010.01406+s010.01407+s010.01408+s010.01409+s010.01410+s010.01411+s010.01412+s010.01413+s010.01414+s010.01415+s010.01416+s010.01417+s010.01418+s010.01419+s010.01420+s010.01421+s010.01422+s010.01423</f>
        <v>1</v>
      </c>
    </row>
    <row r="26" spans="2:3" ht="11.25">
      <c r="B26" s="11" t="s">
        <v>592</v>
      </c>
      <c r="C26" s="12" t="b">
        <f>s010.00430=s010.00431+s010.00432</f>
        <v>1</v>
      </c>
    </row>
    <row r="27" spans="2:3" ht="11.25">
      <c r="B27" s="11" t="s">
        <v>593</v>
      </c>
      <c r="C27" s="12" t="b">
        <f>s010.01430=s010.01431+s010.01432</f>
        <v>1</v>
      </c>
    </row>
    <row r="28" spans="2:3" ht="11.25">
      <c r="B28" s="11" t="s">
        <v>594</v>
      </c>
      <c r="C28" s="12" t="b">
        <f>s010.00440=s010.00441+s010.00442</f>
        <v>1</v>
      </c>
    </row>
    <row r="29" spans="2:3" ht="11.25">
      <c r="B29" s="11" t="s">
        <v>595</v>
      </c>
      <c r="C29" s="12" t="b">
        <f>s010.01440=s010.01441+s010.01442</f>
        <v>1</v>
      </c>
    </row>
    <row r="30" spans="2:3" ht="11.25">
      <c r="B30" s="11" t="s">
        <v>596</v>
      </c>
      <c r="C30" s="12" t="b">
        <f>s010.00290=s010.00300+s010.00310+s010.00400+s010.00430+s010.00440</f>
        <v>1</v>
      </c>
    </row>
    <row r="31" spans="2:3" ht="11.25">
      <c r="B31" s="11" t="s">
        <v>597</v>
      </c>
      <c r="C31" s="12" t="b">
        <f>s010.01290=s010.01300+s010.01310+s010.01400+s010.01430+s010.01440</f>
        <v>1</v>
      </c>
    </row>
    <row r="32" spans="2:3" ht="11.25">
      <c r="B32" s="11" t="s">
        <v>598</v>
      </c>
      <c r="C32" s="12" t="b">
        <f>s010.00450=s010.00451+s010.00452</f>
        <v>1</v>
      </c>
    </row>
    <row r="33" spans="2:3" ht="11.25">
      <c r="B33" s="11" t="s">
        <v>599</v>
      </c>
      <c r="C33" s="12" t="b">
        <f>s010.01450=s010.01451+s010.01452</f>
        <v>1</v>
      </c>
    </row>
    <row r="34" spans="2:3" ht="11.25">
      <c r="B34" s="11" t="s">
        <v>600</v>
      </c>
      <c r="C34" s="12" t="b">
        <f>s010.00460=s010.00461+s010.00462</f>
        <v>1</v>
      </c>
    </row>
    <row r="35" spans="2:3" ht="11.25">
      <c r="B35" s="11" t="s">
        <v>601</v>
      </c>
      <c r="C35" s="12" t="b">
        <f>s010.01460=s010.01461+s010.01462</f>
        <v>1</v>
      </c>
    </row>
    <row r="36" spans="2:3" ht="11.25">
      <c r="B36" s="11" t="s">
        <v>602</v>
      </c>
      <c r="C36" s="12" t="b">
        <f>s010.00270=s010.00280+s010.00290+s010.00450+s010.00460</f>
        <v>1</v>
      </c>
    </row>
    <row r="37" spans="2:3" ht="11.25">
      <c r="B37" s="11" t="s">
        <v>603</v>
      </c>
      <c r="C37" s="12" t="b">
        <f>s010.01270=s010.01280+s010.01290+s010.01450+s010.01460</f>
        <v>1</v>
      </c>
    </row>
    <row r="38" spans="2:3" ht="11.25">
      <c r="B38" s="11" t="s">
        <v>604</v>
      </c>
      <c r="C38" s="12" t="b">
        <f>s010.00500=s010.00008+s010.00270</f>
        <v>1</v>
      </c>
    </row>
    <row r="39" spans="2:3" ht="11.25">
      <c r="B39" s="11" t="s">
        <v>605</v>
      </c>
      <c r="C39" s="12" t="b">
        <f>s010.01500=s010.01008+s010.01270</f>
        <v>1</v>
      </c>
    </row>
    <row r="40" spans="2:3" ht="11.25">
      <c r="B40" s="11" t="s">
        <v>606</v>
      </c>
      <c r="C40" s="12" t="b">
        <f>s010.00710=s010.00711+s010.00712+s010.00713+s010.00714+s010.00715</f>
        <v>1</v>
      </c>
    </row>
    <row r="41" spans="2:3" ht="11.25">
      <c r="B41" s="11" t="s">
        <v>1912</v>
      </c>
      <c r="C41" s="12" t="b">
        <f>s010.01710=s010.01711+s010.01712+s010.01713+s010.01714+s010.01715</f>
        <v>1</v>
      </c>
    </row>
    <row r="42" spans="2:3" ht="11.25">
      <c r="B42" s="11" t="s">
        <v>1913</v>
      </c>
      <c r="C42" s="12" t="b">
        <f>s010.00720=s010.00721+s010.00722+s010.00723+s010.00724+s010.00725+s010.00726</f>
        <v>1</v>
      </c>
    </row>
    <row r="43" spans="2:3" ht="11.25">
      <c r="B43" s="11" t="s">
        <v>1914</v>
      </c>
      <c r="C43" s="12" t="b">
        <f>s010.01720=s010.01721+s010.01722+s010.01723+s010.01724+s010.01725+s010.01726</f>
        <v>1</v>
      </c>
    </row>
    <row r="44" spans="2:3" ht="11.25">
      <c r="B44" s="11" t="s">
        <v>1915</v>
      </c>
      <c r="C44" s="12" t="b">
        <f>s010.00730=s010.00731+s010.00732</f>
        <v>1</v>
      </c>
    </row>
    <row r="45" spans="2:3" ht="11.25">
      <c r="B45" s="11" t="s">
        <v>1390</v>
      </c>
      <c r="C45" s="12" t="b">
        <f>s010.01730=s010.01731+s010.01732</f>
        <v>1</v>
      </c>
    </row>
    <row r="46" spans="2:3" ht="11.25">
      <c r="B46" s="11" t="s">
        <v>1393</v>
      </c>
      <c r="C46" s="12" t="b">
        <f>s010.00740=s010.00741+s010.00742</f>
        <v>1</v>
      </c>
    </row>
    <row r="47" spans="2:3" ht="11.25">
      <c r="B47" s="11" t="s">
        <v>1394</v>
      </c>
      <c r="C47" s="12" t="b">
        <f>s010.01740=s010.01741+s010.01742</f>
        <v>1</v>
      </c>
    </row>
    <row r="48" spans="2:3" ht="11.25">
      <c r="B48" s="11" t="s">
        <v>1395</v>
      </c>
      <c r="C48" s="12" t="b">
        <f>s010.00700=s010.00710+s010.00720+s010.00730+s010.00740</f>
        <v>1</v>
      </c>
    </row>
    <row r="49" spans="2:3" ht="11.25">
      <c r="B49" s="11" t="s">
        <v>1396</v>
      </c>
      <c r="C49" s="12" t="b">
        <f>s010.01700=s010.01710+s010.01720+s010.01730+s010.01740</f>
        <v>1</v>
      </c>
    </row>
    <row r="50" spans="2:3" ht="11.25">
      <c r="B50" s="11" t="s">
        <v>1397</v>
      </c>
      <c r="C50" s="12" t="b">
        <f>s010.00650=s010.00660+s010.00700+s010.00750</f>
        <v>1</v>
      </c>
    </row>
    <row r="51" spans="2:3" ht="11.25">
      <c r="B51" s="11" t="s">
        <v>1398</v>
      </c>
      <c r="C51" s="12" t="b">
        <f>s010.01650=s010.01660+s010.01700+s010.01750</f>
        <v>1</v>
      </c>
    </row>
    <row r="52" spans="2:3" ht="11.25">
      <c r="B52" s="11" t="s">
        <v>1399</v>
      </c>
      <c r="C52" s="12" t="b">
        <f>s010.00820=s010.00821+s010.00822+s010.00823+s010.00824+s010.00825</f>
        <v>1</v>
      </c>
    </row>
    <row r="53" spans="2:3" ht="11.25">
      <c r="B53" s="11" t="s">
        <v>1400</v>
      </c>
      <c r="C53" s="12" t="b">
        <f>s010.01820=s010.01821+s010.01822+s010.01823+s010.01824+s010.01825</f>
        <v>1</v>
      </c>
    </row>
    <row r="54" spans="2:3" ht="11.25">
      <c r="B54" s="11" t="s">
        <v>699</v>
      </c>
      <c r="C54" s="12" t="b">
        <f>s010.00830=s010.00831+s010.00832+s010.00833+s010.00834+s010.00835+s010.00836</f>
        <v>1</v>
      </c>
    </row>
    <row r="55" spans="2:3" ht="11.25">
      <c r="B55" s="11" t="s">
        <v>700</v>
      </c>
      <c r="C55" s="12" t="b">
        <f>s010.01830=s010.01831+s010.01832+s010.01833+s010.01834+s010.01835+s010.01836</f>
        <v>1</v>
      </c>
    </row>
    <row r="56" spans="2:3" ht="11.25">
      <c r="B56" s="11" t="s">
        <v>701</v>
      </c>
      <c r="C56" s="12" t="b">
        <f>s010.00840=s010.00841+s010.00842</f>
        <v>1</v>
      </c>
    </row>
    <row r="57" spans="2:3" ht="11.25">
      <c r="B57" s="11" t="s">
        <v>702</v>
      </c>
      <c r="C57" s="12" t="b">
        <f>s010.01840=s010.01841+s010.01842</f>
        <v>1</v>
      </c>
    </row>
    <row r="58" spans="2:3" ht="11.25">
      <c r="B58" s="11" t="s">
        <v>703</v>
      </c>
      <c r="C58" s="12" t="b">
        <f>s010.00850=s010.00851+s010.00852</f>
        <v>1</v>
      </c>
    </row>
    <row r="59" spans="2:3" ht="11.25">
      <c r="B59" s="11" t="s">
        <v>704</v>
      </c>
      <c r="C59" s="12" t="b">
        <f>s010.01850=s010.01851+s010.01852</f>
        <v>1</v>
      </c>
    </row>
    <row r="60" spans="2:3" ht="11.25">
      <c r="B60" s="11" t="s">
        <v>705</v>
      </c>
      <c r="C60" s="12" t="b">
        <f>s010.00800=s010.00810+s010.00820+s010.00830+s010.00840+s010.00850</f>
        <v>1</v>
      </c>
    </row>
    <row r="61" spans="2:3" ht="11.25">
      <c r="B61" s="11" t="s">
        <v>706</v>
      </c>
      <c r="C61" s="12" t="b">
        <f>s010.01800=s010.01810+s010.01820+s010.01830+s010.01840+s010.01850</f>
        <v>1</v>
      </c>
    </row>
    <row r="62" spans="2:3" ht="11.25">
      <c r="B62" s="11" t="s">
        <v>707</v>
      </c>
      <c r="C62" s="12" t="b">
        <f>s010.00910=s010.00911+s010.00912+s010.00913+s010.00914+s010.00915+s010.00916+s010.00917+s010.00918</f>
        <v>1</v>
      </c>
    </row>
    <row r="63" spans="2:3" ht="11.25">
      <c r="B63" s="11" t="s">
        <v>708</v>
      </c>
      <c r="C63" s="12" t="b">
        <f>s010.01910=s010.01911+s010.01912+s010.01913+s010.01914+s010.01915+s010.01916+s010.01917+s010.01918</f>
        <v>1</v>
      </c>
    </row>
    <row r="64" spans="2:3" ht="11.25">
      <c r="B64" s="11" t="s">
        <v>709</v>
      </c>
      <c r="C64" s="12" t="b">
        <f>s010.00760=s010.00770+s010.00780+s010.00800+s010.00900</f>
        <v>1</v>
      </c>
    </row>
    <row r="65" spans="2:3" ht="11.25">
      <c r="B65" s="11" t="s">
        <v>710</v>
      </c>
      <c r="C65" s="12" t="b">
        <f>s010.01760=s010.01770+s010.01780+s010.01800+s010.01900</f>
        <v>1</v>
      </c>
    </row>
    <row r="66" spans="2:3" ht="11.25">
      <c r="B66" s="11" t="s">
        <v>2140</v>
      </c>
      <c r="C66" s="12" t="b">
        <f>s010.00930=s010.00940+s010.00950+s010.00960+s010.00970</f>
        <v>1</v>
      </c>
    </row>
    <row r="67" spans="2:3" ht="11.25">
      <c r="B67" s="11" t="s">
        <v>2141</v>
      </c>
      <c r="C67" s="12" t="b">
        <f>s010.01930=s010.01940+s010.01950+s010.01960+s010.01970</f>
        <v>1</v>
      </c>
    </row>
    <row r="68" spans="2:3" ht="11.25">
      <c r="B68" s="11" t="s">
        <v>2142</v>
      </c>
      <c r="C68" s="12" t="b">
        <f>s010.01000=s010.00650+s010.00760+s010.00930</f>
        <v>1</v>
      </c>
    </row>
    <row r="69" spans="2:3" ht="11.25">
      <c r="B69" s="11" t="s">
        <v>2143</v>
      </c>
      <c r="C69" s="12" t="b">
        <f>s010.02000=s010.01650+s010.01760+s010.01930</f>
        <v>1</v>
      </c>
    </row>
    <row r="70" spans="2:3" ht="11.25">
      <c r="B70" s="11" t="s">
        <v>2144</v>
      </c>
      <c r="C70" s="12" t="b">
        <f>IF(NOT(ISBLANK(s020.02200)),IF(s020.02200&lt;0,TRUE,FALSE),TRUE)</f>
        <v>1</v>
      </c>
    </row>
    <row r="71" spans="2:3" ht="11.25">
      <c r="B71" s="11" t="s">
        <v>2145</v>
      </c>
      <c r="C71" s="12" t="b">
        <f>IF(NOT(ISBLANK(s020.03200)),IF(s020.03200&lt;0,TRUE,FALSE),TRUE)</f>
        <v>1</v>
      </c>
    </row>
    <row r="72" spans="2:3" ht="11.25">
      <c r="B72" s="11" t="s">
        <v>2146</v>
      </c>
      <c r="C72" s="12" t="b">
        <f>IF(NOT(ISBLANK(s020.02210)),IF(s020.02210&lt;0,TRUE,FALSE),TRUE)</f>
        <v>1</v>
      </c>
    </row>
    <row r="73" spans="2:3" ht="11.25">
      <c r="B73" s="11" t="s">
        <v>2147</v>
      </c>
      <c r="C73" s="12" t="b">
        <f>IF(NOT(ISBLANK(s020.03210)),IF(s020.03210&lt;0,TRUE,FALSE),TRUE)</f>
        <v>1</v>
      </c>
    </row>
    <row r="74" spans="2:3" ht="11.25">
      <c r="B74" s="11" t="s">
        <v>2148</v>
      </c>
      <c r="C74" s="12" t="b">
        <f>IF(NOT(ISBLANK(s020.02220)),IF(s020.02220&lt;0,TRUE,FALSE),TRUE)</f>
        <v>1</v>
      </c>
    </row>
    <row r="75" spans="2:3" ht="11.25">
      <c r="B75" s="11" t="s">
        <v>2149</v>
      </c>
      <c r="C75" s="12" t="b">
        <f>IF(NOT(ISBLANK(s020.03220)),IF(s020.03220&lt;0,TRUE,FALSE),TRUE)</f>
        <v>1</v>
      </c>
    </row>
    <row r="76" spans="2:3" ht="11.25">
      <c r="B76" s="11" t="s">
        <v>2150</v>
      </c>
      <c r="C76" s="12" t="b">
        <f>IF(NOT(ISBLANK(s020.02230)),IF(s020.02230&lt;0,TRUE,FALSE),TRUE)</f>
        <v>1</v>
      </c>
    </row>
    <row r="77" spans="2:3" ht="11.25">
      <c r="B77" s="11" t="s">
        <v>2151</v>
      </c>
      <c r="C77" s="12" t="b">
        <f>IF(NOT(ISBLANK(s020.03230)),IF(s020.03230&lt;0,TRUE,FALSE),TRUE)</f>
        <v>1</v>
      </c>
    </row>
    <row r="78" spans="2:3" ht="11.25">
      <c r="B78" s="11" t="s">
        <v>2152</v>
      </c>
      <c r="C78" s="12" t="b">
        <f>IF(NOT(ISBLANK(s020.02610)),IF(s020.02610&lt;0,TRUE,FALSE),TRUE)</f>
        <v>1</v>
      </c>
    </row>
    <row r="79" spans="2:3" ht="11.25">
      <c r="B79" s="11" t="s">
        <v>2153</v>
      </c>
      <c r="C79" s="12" t="b">
        <f>IF(NOT(ISBLANK(s020.03610)),IF(s020.03610&lt;0,TRUE,FALSE),TRUE)</f>
        <v>1</v>
      </c>
    </row>
    <row r="80" spans="2:3" ht="11.25">
      <c r="B80" s="11" t="s">
        <v>2154</v>
      </c>
      <c r="C80" s="12" t="b">
        <f>IF(NOT(ISBLANK(s020.02611)),IF(s020.02611&lt;0,TRUE,FALSE),TRUE)</f>
        <v>1</v>
      </c>
    </row>
    <row r="81" spans="2:3" ht="11.25">
      <c r="B81" s="11" t="s">
        <v>2155</v>
      </c>
      <c r="C81" s="12" t="b">
        <f>IF(NOT(ISBLANK(s020.03611)),IF(s020.03611&lt;0,TRUE,FALSE),TRUE)</f>
        <v>1</v>
      </c>
    </row>
    <row r="82" spans="2:3" ht="11.25">
      <c r="B82" s="11" t="s">
        <v>2156</v>
      </c>
      <c r="C82" s="12" t="b">
        <f>IF(NOT(ISBLANK(s020.02612)),IF(s020.02612&lt;0,TRUE,FALSE),TRUE)</f>
        <v>1</v>
      </c>
    </row>
    <row r="83" spans="2:3" ht="11.25">
      <c r="B83" s="11" t="s">
        <v>2157</v>
      </c>
      <c r="C83" s="12" t="b">
        <f>IF(NOT(ISBLANK(s020.03612)),IF(s020.03612&lt;0,TRUE,FALSE),TRUE)</f>
        <v>1</v>
      </c>
    </row>
    <row r="84" spans="2:3" ht="11.25">
      <c r="B84" s="11" t="s">
        <v>2158</v>
      </c>
      <c r="C84" s="12" t="b">
        <f>IF(NOT(ISBLANK(s020.02613)),IF(s020.02613&lt;0,TRUE,FALSE),TRUE)</f>
        <v>1</v>
      </c>
    </row>
    <row r="85" spans="2:3" ht="11.25">
      <c r="B85" s="11" t="s">
        <v>2159</v>
      </c>
      <c r="C85" s="12" t="b">
        <f>IF(NOT(ISBLANK(s020.03613)),IF(s020.03613&lt;0,TRUE,FALSE),TRUE)</f>
        <v>1</v>
      </c>
    </row>
    <row r="86" spans="2:3" ht="11.25">
      <c r="B86" s="11" t="s">
        <v>2160</v>
      </c>
      <c r="C86" s="12" t="b">
        <f>IF(NOT(ISBLANK(s020.02614)),IF(s020.02614&lt;0,TRUE,FALSE),TRUE)</f>
        <v>1</v>
      </c>
    </row>
    <row r="87" spans="2:3" ht="11.25">
      <c r="B87" s="11" t="s">
        <v>788</v>
      </c>
      <c r="C87" s="12" t="b">
        <f>IF(NOT(ISBLANK(s020.03614)),IF(s020.03614&lt;0,TRUE,FALSE),TRUE)</f>
        <v>1</v>
      </c>
    </row>
    <row r="88" spans="2:3" ht="11.25">
      <c r="B88" s="11" t="s">
        <v>789</v>
      </c>
      <c r="C88" s="12" t="b">
        <f>IF(NOT(ISBLANK(s020.02631)),IF(s020.02631&lt;0,TRUE,FALSE),TRUE)</f>
        <v>1</v>
      </c>
    </row>
    <row r="89" spans="2:3" ht="11.25">
      <c r="B89" s="11" t="s">
        <v>790</v>
      </c>
      <c r="C89" s="12" t="b">
        <f>IF(NOT(ISBLANK(s020.03631)),IF(s020.03631&lt;0,TRUE,FALSE),TRUE)</f>
        <v>1</v>
      </c>
    </row>
    <row r="90" spans="2:3" ht="11.25">
      <c r="B90" s="11" t="s">
        <v>791</v>
      </c>
      <c r="C90" s="12" t="b">
        <f>IF(NOT(ISBLANK(s020.02632)),IF(s020.02632&lt;0,TRUE,FALSE),TRUE)</f>
        <v>1</v>
      </c>
    </row>
    <row r="91" spans="2:3" ht="11.25">
      <c r="B91" s="11" t="s">
        <v>792</v>
      </c>
      <c r="C91" s="12" t="b">
        <f>IF(NOT(ISBLANK(s020.03632)),IF(s020.03632&lt;0,TRUE,FALSE),TRUE)</f>
        <v>1</v>
      </c>
    </row>
    <row r="92" spans="2:3" ht="11.25">
      <c r="B92" s="11" t="s">
        <v>793</v>
      </c>
      <c r="C92" s="12" t="b">
        <f>IF(NOT(ISBLANK(s020.02633)),IF(s020.02633&lt;0,TRUE,FALSE),TRUE)</f>
        <v>1</v>
      </c>
    </row>
    <row r="93" spans="2:3" ht="11.25">
      <c r="B93" s="11" t="s">
        <v>794</v>
      </c>
      <c r="C93" s="12" t="b">
        <f>IF(NOT(ISBLANK(s020.03633)),IF(s020.03633&lt;0,TRUE,FALSE),TRUE)</f>
        <v>1</v>
      </c>
    </row>
    <row r="94" spans="2:3" ht="11.25">
      <c r="B94" s="11" t="s">
        <v>795</v>
      </c>
      <c r="C94" s="12" t="b">
        <f>IF(NOT(ISBLANK(s020.02634)),IF(s020.02634&lt;0,TRUE,FALSE),TRUE)</f>
        <v>1</v>
      </c>
    </row>
    <row r="95" spans="2:3" ht="11.25">
      <c r="B95" s="11" t="s">
        <v>796</v>
      </c>
      <c r="C95" s="12" t="b">
        <f>IF(NOT(ISBLANK(s020.03634)),IF(s020.03634&lt;0,TRUE,FALSE),TRUE)</f>
        <v>1</v>
      </c>
    </row>
    <row r="96" spans="2:3" ht="11.25">
      <c r="B96" s="11" t="s">
        <v>797</v>
      </c>
      <c r="C96" s="12" t="b">
        <f>IF(NOT(ISBLANK(s020.02635)),IF(s020.02635&lt;0,TRUE,FALSE),TRUE)</f>
        <v>1</v>
      </c>
    </row>
    <row r="97" spans="2:3" ht="11.25">
      <c r="B97" s="11" t="s">
        <v>798</v>
      </c>
      <c r="C97" s="12" t="b">
        <f>IF(NOT(ISBLANK(s020.03635)),IF(s020.03635&lt;0,TRUE,FALSE),TRUE)</f>
        <v>1</v>
      </c>
    </row>
    <row r="98" spans="2:3" ht="11.25">
      <c r="B98" s="11" t="s">
        <v>799</v>
      </c>
      <c r="C98" s="12" t="b">
        <f>IF(NOT(ISBLANK(s020.02636)),IF(s020.02636&lt;0,TRUE,FALSE),TRUE)</f>
        <v>1</v>
      </c>
    </row>
    <row r="99" spans="2:3" ht="11.25">
      <c r="B99" s="11" t="s">
        <v>800</v>
      </c>
      <c r="C99" s="12" t="b">
        <f>IF(NOT(ISBLANK(s020.03636)),IF(s020.03636&lt;0,TRUE,FALSE),TRUE)</f>
        <v>1</v>
      </c>
    </row>
    <row r="100" spans="2:3" ht="11.25">
      <c r="B100" s="11" t="s">
        <v>801</v>
      </c>
      <c r="C100" s="12" t="b">
        <f>s020.00100=s020.00110+s020.00120+s020.00130</f>
        <v>1</v>
      </c>
    </row>
    <row r="101" spans="2:3" ht="11.25">
      <c r="B101" s="11" t="s">
        <v>802</v>
      </c>
      <c r="C101" s="12" t="b">
        <f>s020.01100=s020.01110+s020.01120+s020.01130</f>
        <v>1</v>
      </c>
    </row>
    <row r="102" spans="2:3" ht="11.25">
      <c r="B102" s="11" t="s">
        <v>803</v>
      </c>
      <c r="C102" s="12" t="b">
        <f>s020.02100=s020.02110+s020.02120+s020.02130</f>
        <v>1</v>
      </c>
    </row>
    <row r="103" spans="2:3" ht="11.25">
      <c r="B103" s="11" t="s">
        <v>804</v>
      </c>
      <c r="C103" s="12" t="b">
        <f>s020.03100=s020.03110+s020.03120+s020.03130</f>
        <v>1</v>
      </c>
    </row>
    <row r="104" spans="2:3" ht="11.25">
      <c r="B104" s="11" t="s">
        <v>805</v>
      </c>
      <c r="C104" s="12" t="b">
        <f>s020.00200=s020.00210+s020.00220+s020.00230</f>
        <v>1</v>
      </c>
    </row>
    <row r="105" spans="2:3" ht="11.25">
      <c r="B105" s="11" t="s">
        <v>1147</v>
      </c>
      <c r="C105" s="12" t="b">
        <f>s020.01200=s020.01210+s020.01220+s020.01230</f>
        <v>1</v>
      </c>
    </row>
    <row r="106" spans="2:3" ht="11.25">
      <c r="B106" s="11" t="s">
        <v>1148</v>
      </c>
      <c r="C106" s="12" t="b">
        <f>s020.02200=s020.02210+s020.02220+s020.02230</f>
        <v>1</v>
      </c>
    </row>
    <row r="107" spans="2:3" ht="11.25">
      <c r="B107" s="11" t="s">
        <v>1149</v>
      </c>
      <c r="C107" s="12" t="b">
        <f>s020.03200=s020.03210+s020.03220+s020.03230</f>
        <v>1</v>
      </c>
    </row>
    <row r="108" spans="2:3" ht="11.25">
      <c r="B108" s="11" t="s">
        <v>1150</v>
      </c>
      <c r="C108" s="12" t="b">
        <f>s020.00250=s020.00100+s020.00200</f>
        <v>1</v>
      </c>
    </row>
    <row r="109" spans="2:3" ht="11.25">
      <c r="B109" s="11" t="s">
        <v>1151</v>
      </c>
      <c r="C109" s="12" t="b">
        <f>s020.01250=s020.01100+s020.01200</f>
        <v>1</v>
      </c>
    </row>
    <row r="110" spans="2:3" ht="11.25">
      <c r="B110" s="11" t="s">
        <v>1152</v>
      </c>
      <c r="C110" s="12" t="b">
        <f>s020.02250=s020.02100+s020.02200</f>
        <v>1</v>
      </c>
    </row>
    <row r="111" spans="2:3" ht="11.25">
      <c r="B111" s="11" t="s">
        <v>1153</v>
      </c>
      <c r="C111" s="12" t="b">
        <f>s020.03250=s020.03100+s020.03200</f>
        <v>1</v>
      </c>
    </row>
    <row r="112" spans="2:3" ht="11.25">
      <c r="B112" s="11" t="s">
        <v>1154</v>
      </c>
      <c r="C112" s="12" t="b">
        <f>s020.00300=s020.00310+s020.00320+s020.00330</f>
        <v>1</v>
      </c>
    </row>
    <row r="113" spans="2:3" ht="11.25">
      <c r="B113" s="11" t="s">
        <v>1155</v>
      </c>
      <c r="C113" s="12" t="b">
        <f>s020.01300=s020.01310+s020.01320+s020.01330</f>
        <v>1</v>
      </c>
    </row>
    <row r="114" spans="2:3" ht="11.25">
      <c r="B114" s="11" t="s">
        <v>1156</v>
      </c>
      <c r="C114" s="12" t="b">
        <f>s020.02300=s020.02310+s020.02320+s020.02330</f>
        <v>1</v>
      </c>
    </row>
    <row r="115" spans="2:3" ht="11.25">
      <c r="B115" s="11" t="s">
        <v>1157</v>
      </c>
      <c r="C115" s="12" t="b">
        <f>s020.03300=s020.03310+s020.03320+s020.03330</f>
        <v>1</v>
      </c>
    </row>
    <row r="116" spans="2:3" ht="11.25">
      <c r="B116" s="11" t="s">
        <v>2161</v>
      </c>
      <c r="C116" s="12" t="b">
        <f>s020.00610=s020.00611+s020.00612+s020.00613+s020.00614+s020.00620</f>
        <v>1</v>
      </c>
    </row>
    <row r="117" spans="2:3" ht="11.25">
      <c r="B117" s="11" t="s">
        <v>2162</v>
      </c>
      <c r="C117" s="12" t="b">
        <f>s020.01610=s020.01611+s020.01612+s020.01613+s020.01614+s020.01620</f>
        <v>1</v>
      </c>
    </row>
    <row r="118" spans="2:3" ht="11.25">
      <c r="B118" s="11" t="s">
        <v>2163</v>
      </c>
      <c r="C118" s="12" t="b">
        <f>s020.02610=s020.02611+s020.02612+s020.02613+s020.02614+s020.02620</f>
        <v>1</v>
      </c>
    </row>
    <row r="119" spans="2:3" ht="11.25">
      <c r="B119" s="11" t="s">
        <v>2164</v>
      </c>
      <c r="C119" s="12" t="b">
        <f>s020.03610=s020.03611+s020.03612+s020.03613+s020.03614+s020.03620</f>
        <v>1</v>
      </c>
    </row>
    <row r="120" spans="2:3" ht="11.25">
      <c r="B120" s="11" t="s">
        <v>2165</v>
      </c>
      <c r="C120" s="12" t="b">
        <f>s020.00630=s020.00631+s020.00632+s020.00633+s020.00634+s020.00635+s020.00636+s020.00637</f>
        <v>1</v>
      </c>
    </row>
    <row r="121" spans="2:3" ht="11.25">
      <c r="B121" s="11" t="s">
        <v>2166</v>
      </c>
      <c r="C121" s="12" t="b">
        <f>s020.01630=s020.01631+s020.01632+s020.01633+s020.01634+s020.01635+s020.01636+s020.01637</f>
        <v>1</v>
      </c>
    </row>
    <row r="122" spans="2:3" ht="11.25">
      <c r="B122" s="11" t="s">
        <v>2167</v>
      </c>
      <c r="C122" s="12" t="b">
        <f>s020.02630=s020.02631+s020.02632+s020.02633+s020.02634+s020.02635+s020.02636+s020.02637</f>
        <v>1</v>
      </c>
    </row>
    <row r="123" spans="2:3" ht="11.25">
      <c r="B123" s="11" t="s">
        <v>2168</v>
      </c>
      <c r="C123" s="12" t="b">
        <f>s020.03630=s020.03631+s020.03632+s020.03633+s020.03634+s020.03635+s020.03636+s020.03637</f>
        <v>1</v>
      </c>
    </row>
    <row r="124" spans="2:3" ht="11.25">
      <c r="B124" s="11" t="s">
        <v>2169</v>
      </c>
      <c r="C124" s="12" t="b">
        <f>s020.00600=s020.00610+s020.00630</f>
        <v>1</v>
      </c>
    </row>
    <row r="125" spans="2:3" ht="11.25">
      <c r="B125" s="11" t="s">
        <v>1165</v>
      </c>
      <c r="C125" s="12" t="b">
        <f>s020.01600=s020.01610+s020.01630</f>
        <v>1</v>
      </c>
    </row>
    <row r="126" spans="2:3" ht="11.25">
      <c r="B126" s="11" t="s">
        <v>1166</v>
      </c>
      <c r="C126" s="12" t="b">
        <f>s020.02600=s020.02610+s020.02630</f>
        <v>1</v>
      </c>
    </row>
    <row r="127" spans="2:3" ht="11.25">
      <c r="B127" s="11" t="s">
        <v>1167</v>
      </c>
      <c r="C127" s="12" t="b">
        <f>s020.03600=s020.03610+s020.03630</f>
        <v>1</v>
      </c>
    </row>
    <row r="128" spans="2:3" ht="11.25">
      <c r="B128" s="11" t="s">
        <v>1168</v>
      </c>
      <c r="C128" s="12" t="b">
        <f>s020.00700=s020.00710+s020.00720+s020.00730+s020.00740</f>
        <v>1</v>
      </c>
    </row>
    <row r="129" spans="2:3" ht="11.25">
      <c r="B129" s="11" t="s">
        <v>1169</v>
      </c>
      <c r="C129" s="12" t="b">
        <f>s020.01700=s020.01710+s020.01720+s020.01730+s020.01740</f>
        <v>1</v>
      </c>
    </row>
    <row r="130" spans="2:3" ht="11.25">
      <c r="B130" s="11" t="s">
        <v>1170</v>
      </c>
      <c r="C130" s="12" t="b">
        <f>s020.02700=s020.02710+s020.02720+s020.02730+s020.02740</f>
        <v>1</v>
      </c>
    </row>
    <row r="131" spans="2:3" ht="11.25">
      <c r="B131" s="11" t="s">
        <v>1171</v>
      </c>
      <c r="C131" s="12" t="b">
        <f>s020.03700=s020.03710+s020.03720+s020.03730+s020.03740</f>
        <v>1</v>
      </c>
    </row>
    <row r="132" spans="2:3" ht="22.5">
      <c r="B132" s="11" t="s">
        <v>1172</v>
      </c>
      <c r="C132" s="12" t="b">
        <f>s020.00900=s020.00100+s020.00200+s020.00300+s020.00400+s020.00500+s020.00600+s020.00700+s020.00750+s020.00800+s020.00850</f>
        <v>1</v>
      </c>
    </row>
    <row r="133" spans="2:3" ht="22.5">
      <c r="B133" s="11" t="s">
        <v>1173</v>
      </c>
      <c r="C133" s="12" t="b">
        <f>s020.01900=s020.01100+s020.01200+s020.01300+s020.01400+s020.01500+s020.01600+s020.01700+s020.01750+s020.01800+s020.01850</f>
        <v>1</v>
      </c>
    </row>
    <row r="134" spans="2:3" ht="22.5">
      <c r="B134" s="11" t="s">
        <v>1174</v>
      </c>
      <c r="C134" s="12" t="b">
        <f>s020.02900=s020.02100+s020.02200+s020.02300+s020.02400+s020.02500+s020.02600+s020.02700+s020.02750+s020.02800+s020.02850</f>
        <v>1</v>
      </c>
    </row>
    <row r="135" spans="2:3" ht="22.5">
      <c r="B135" s="11" t="s">
        <v>1175</v>
      </c>
      <c r="C135" s="12" t="b">
        <f>s020.03900=s020.03100+s020.03200+s020.03300+s020.03400+s020.03500+s020.03600+s020.03700+s020.03750+s020.03800+s020.03850</f>
        <v>1</v>
      </c>
    </row>
    <row r="136" spans="2:3" ht="11.25">
      <c r="B136" s="11" t="s">
        <v>1176</v>
      </c>
      <c r="C136" s="12" t="b">
        <f>s020.03000=s020.00900+s020.00950</f>
        <v>1</v>
      </c>
    </row>
    <row r="137" spans="2:3" ht="11.25">
      <c r="B137" s="11" t="s">
        <v>1177</v>
      </c>
      <c r="C137" s="12" t="b">
        <f>s020.04000=s020.01900+s020.01950</f>
        <v>1</v>
      </c>
    </row>
    <row r="138" spans="2:3" ht="11.25">
      <c r="B138" s="11" t="s">
        <v>1178</v>
      </c>
      <c r="C138" s="12" t="b">
        <f>s020.05000=s020.02900+s020.02950</f>
        <v>1</v>
      </c>
    </row>
    <row r="139" spans="2:3" ht="11.25">
      <c r="B139" s="11" t="s">
        <v>1179</v>
      </c>
      <c r="C139" s="12" t="b">
        <f>s020.06000=s020.03900+s020.03950</f>
        <v>1</v>
      </c>
    </row>
    <row r="140" spans="2:3" ht="11.25">
      <c r="B140" s="11" t="s">
        <v>1224</v>
      </c>
      <c r="C140" s="12" t="b">
        <f>s030.08990=s030.09900</f>
        <v>0</v>
      </c>
    </row>
    <row r="141" spans="2:3" ht="11.25">
      <c r="B141" s="11" t="s">
        <v>1225</v>
      </c>
      <c r="C141" s="12" t="b">
        <f>s030.08800=s030.08990-s030.08900</f>
        <v>1</v>
      </c>
    </row>
    <row r="142" spans="2:3" ht="11.25">
      <c r="B142" s="11" t="s">
        <v>1226</v>
      </c>
      <c r="C142" s="12" t="b">
        <f>s030.09800=s030.09990-s030.09900</f>
        <v>1</v>
      </c>
    </row>
    <row r="143" spans="2:3" ht="11.25">
      <c r="B143" s="11" t="s">
        <v>1227</v>
      </c>
      <c r="C143" s="12" t="b">
        <f>s030.08990=s010.00460</f>
        <v>1</v>
      </c>
    </row>
    <row r="144" spans="2:3" ht="11.25">
      <c r="B144" s="11" t="s">
        <v>1228</v>
      </c>
      <c r="C144" s="12" t="b">
        <f>IF(NOT(ISBLANK(s030.08120)),s030.08120&lt;0,TRUE)</f>
        <v>1</v>
      </c>
    </row>
    <row r="145" spans="2:3" ht="11.25">
      <c r="B145" s="11" t="s">
        <v>1229</v>
      </c>
      <c r="C145" s="12" t="b">
        <f>IF(NOT(ISBLANK(s030.09120)),s030.09120&lt;0,TRUE)</f>
        <v>1</v>
      </c>
    </row>
    <row r="146" spans="2:3" ht="11.25">
      <c r="B146" s="11" t="s">
        <v>1230</v>
      </c>
      <c r="C146" s="12" t="b">
        <f>IF(NOT(ISBLANK(s030.08150)),s030.08150&lt;0,TRUE)</f>
        <v>1</v>
      </c>
    </row>
    <row r="147" spans="2:3" ht="11.25">
      <c r="B147" s="11" t="s">
        <v>1231</v>
      </c>
      <c r="C147" s="12" t="b">
        <f>IF(NOT(ISBLANK(s030.09150)),s030.09150&lt;0,TRUE)</f>
        <v>1</v>
      </c>
    </row>
    <row r="148" spans="2:3" ht="11.25">
      <c r="B148" s="11" t="s">
        <v>1232</v>
      </c>
      <c r="C148" s="12" t="b">
        <f>IF(NOT(ISBLANK(s030.08200)),s030.08200&lt;0,TRUE)</f>
        <v>1</v>
      </c>
    </row>
    <row r="149" spans="2:3" ht="11.25">
      <c r="B149" s="11" t="s">
        <v>1233</v>
      </c>
      <c r="C149" s="12" t="b">
        <f>IF(NOT(ISBLANK(s030.09200)),s030.09200&lt;0,TRUE)</f>
        <v>1</v>
      </c>
    </row>
    <row r="150" spans="2:3" ht="11.25">
      <c r="B150" s="11" t="s">
        <v>1234</v>
      </c>
      <c r="C150" s="12" t="b">
        <f>IF(NOT(ISBLANK(s030.08210)),s030.08210&lt;0,TRUE)</f>
        <v>1</v>
      </c>
    </row>
    <row r="151" spans="2:3" ht="11.25">
      <c r="B151" s="11" t="s">
        <v>1235</v>
      </c>
      <c r="C151" s="12" t="b">
        <f>IF(NOT(ISBLANK(s030.09210)),s030.09210&lt;0,TRUE)</f>
        <v>1</v>
      </c>
    </row>
    <row r="152" spans="2:3" ht="11.25">
      <c r="B152" s="11" t="s">
        <v>1236</v>
      </c>
      <c r="C152" s="12" t="b">
        <f>IF(NOT(ISBLANK(s030.08220)),s030.08220&lt;0,TRUE)</f>
        <v>1</v>
      </c>
    </row>
    <row r="153" spans="2:3" ht="11.25">
      <c r="B153" s="11" t="s">
        <v>1237</v>
      </c>
      <c r="C153" s="12" t="b">
        <f>IF(NOT(ISBLANK(s030.09220)),s030.09220&lt;0,TRUE)</f>
        <v>1</v>
      </c>
    </row>
    <row r="154" spans="2:3" ht="11.25">
      <c r="B154" s="11" t="s">
        <v>1238</v>
      </c>
      <c r="C154" s="12" t="b">
        <f>IF(NOT(ISBLANK(s030.08230)),s030.08230&lt;0,TRUE)</f>
        <v>1</v>
      </c>
    </row>
    <row r="155" spans="2:3" ht="11.25">
      <c r="B155" s="11" t="s">
        <v>1239</v>
      </c>
      <c r="C155" s="12" t="b">
        <f>IF(NOT(ISBLANK(s030.09230)),s030.09230&lt;0,TRUE)</f>
        <v>1</v>
      </c>
    </row>
    <row r="156" spans="2:3" ht="11.25">
      <c r="B156" s="11" t="s">
        <v>1240</v>
      </c>
      <c r="C156" s="12" t="b">
        <f>IF(NOT(ISBLANK(s030.08240)),s030.08240&lt;0,TRUE)</f>
        <v>1</v>
      </c>
    </row>
    <row r="157" spans="2:3" ht="11.25">
      <c r="B157" s="11" t="s">
        <v>0</v>
      </c>
      <c r="C157" s="12" t="b">
        <f>IF(NOT(ISBLANK(s030.09240)),s030.09240&lt;0,TRUE)</f>
        <v>1</v>
      </c>
    </row>
    <row r="158" spans="2:3" ht="11.25">
      <c r="B158" s="11" t="s">
        <v>1</v>
      </c>
      <c r="C158" s="12" t="b">
        <f>IF(NOT(ISBLANK(s030.08250)),s030.08250&lt;0,TRUE)</f>
        <v>1</v>
      </c>
    </row>
    <row r="159" spans="2:3" ht="11.25">
      <c r="B159" s="11" t="s">
        <v>2</v>
      </c>
      <c r="C159" s="12" t="b">
        <f>IF(NOT(ISBLANK(s030.09250)),s030.09250&lt;0,TRUE)</f>
        <v>1</v>
      </c>
    </row>
    <row r="160" spans="2:3" ht="11.25">
      <c r="B160" s="11" t="s">
        <v>3</v>
      </c>
      <c r="C160" s="12" t="b">
        <f>IF(NOT(ISBLANK(s030.08320)),s030.08320&lt;0,TRUE)</f>
        <v>1</v>
      </c>
    </row>
    <row r="161" spans="2:3" ht="11.25">
      <c r="B161" s="11" t="s">
        <v>4</v>
      </c>
      <c r="C161" s="12" t="b">
        <f>IF(NOT(ISBLANK(s030.09320)),s030.09320&lt;0,TRUE)</f>
        <v>1</v>
      </c>
    </row>
    <row r="162" spans="2:3" ht="11.25">
      <c r="B162" s="11" t="s">
        <v>5</v>
      </c>
      <c r="C162" s="12" t="b">
        <f>IF(NOT(ISBLANK(s030.08420)),s030.08420&lt;0,TRUE)</f>
        <v>1</v>
      </c>
    </row>
    <row r="163" spans="2:3" ht="11.25">
      <c r="B163" s="11" t="s">
        <v>6</v>
      </c>
      <c r="C163" s="12" t="b">
        <f>IF(NOT(ISBLANK(s030.09420)),s030.09420&lt;0,TRUE)</f>
        <v>1</v>
      </c>
    </row>
    <row r="164" spans="2:3" ht="11.25">
      <c r="B164" s="11" t="s">
        <v>7</v>
      </c>
      <c r="C164" s="12" t="b">
        <f>IF(NOT(ISBLANK(s030.08500)),s030.08500&lt;0,TRUE)</f>
        <v>1</v>
      </c>
    </row>
    <row r="165" spans="2:3" ht="11.25">
      <c r="B165" s="11" t="s">
        <v>8</v>
      </c>
      <c r="C165" s="12" t="b">
        <f>IF(NOT(ISBLANK(s030.09500)),s030.09500&lt;0,TRUE)</f>
        <v>1</v>
      </c>
    </row>
    <row r="166" spans="2:3" ht="11.25">
      <c r="B166" s="11" t="s">
        <v>9</v>
      </c>
      <c r="C166" s="12" t="b">
        <f>IF(NOT(ISBLANK(s030.08510)),s030.08510&lt;0,TRUE)</f>
        <v>1</v>
      </c>
    </row>
    <row r="167" spans="2:3" ht="11.25">
      <c r="B167" s="11" t="s">
        <v>10</v>
      </c>
      <c r="C167" s="12" t="b">
        <f>IF(NOT(ISBLANK(s030.09510)),s030.09510&lt;0,TRUE)</f>
        <v>1</v>
      </c>
    </row>
    <row r="168" spans="2:3" ht="11.25">
      <c r="B168" s="11" t="s">
        <v>11</v>
      </c>
      <c r="C168" s="12" t="b">
        <f>IF(NOT(ISBLANK(s030.08520)),s030.08520&lt;0,TRUE)</f>
        <v>1</v>
      </c>
    </row>
    <row r="169" spans="2:3" ht="11.25">
      <c r="B169" s="11" t="s">
        <v>12</v>
      </c>
      <c r="C169" s="12" t="b">
        <f>IF(NOT(ISBLANK(s030.09520)),s030.09520&lt;0,TRUE)</f>
        <v>1</v>
      </c>
    </row>
    <row r="170" spans="2:3" ht="11.25">
      <c r="B170" s="11" t="s">
        <v>13</v>
      </c>
      <c r="C170" s="12" t="b">
        <f>IF(NOT(ISBLANK(s030.08630)),s030.08630&lt;0,TRUE)</f>
        <v>1</v>
      </c>
    </row>
    <row r="171" spans="2:3" ht="11.25">
      <c r="B171" s="11" t="s">
        <v>14</v>
      </c>
      <c r="C171" s="12" t="b">
        <f>IF(NOT(ISBLANK(s030.09630)),s030.09630&lt;0,TRUE)</f>
        <v>1</v>
      </c>
    </row>
    <row r="172" spans="2:3" ht="11.25">
      <c r="B172" s="11" t="s">
        <v>15</v>
      </c>
      <c r="C172" s="12" t="b">
        <f>IF(NOT(ISBLANK(s030.08720)),s030.08720&lt;0,TRUE)</f>
        <v>1</v>
      </c>
    </row>
    <row r="173" spans="2:3" ht="11.25">
      <c r="B173" s="11" t="s">
        <v>16</v>
      </c>
      <c r="C173" s="12" t="b">
        <f>IF(NOT(ISBLANK(s030.09720)),s030.09720&lt;0,TRUE)</f>
        <v>1</v>
      </c>
    </row>
    <row r="174" spans="2:3" ht="11.25">
      <c r="B174" s="11" t="s">
        <v>17</v>
      </c>
      <c r="C174" s="12" t="b">
        <f>s030.08100=s030.08110+s030.08120+s030.08130+s030.08140+s030.08150+s030.08160</f>
        <v>1</v>
      </c>
    </row>
    <row r="175" spans="2:3" ht="11.25">
      <c r="B175" s="11" t="s">
        <v>18</v>
      </c>
      <c r="C175" s="12" t="b">
        <f>s030.09100=s030.09110+s030.09120+s030.09130+s030.09140+s030.09150+s030.09160</f>
        <v>1</v>
      </c>
    </row>
    <row r="176" spans="2:3" ht="11.25">
      <c r="B176" s="11" t="s">
        <v>19</v>
      </c>
      <c r="C176" s="12" t="b">
        <f>s030.08200=s030.08210+s030.08220+s030.08230+s030.08240+s030.08250</f>
        <v>1</v>
      </c>
    </row>
    <row r="177" spans="2:3" ht="11.25">
      <c r="B177" s="11" t="s">
        <v>20</v>
      </c>
      <c r="C177" s="12" t="b">
        <f>s030.09200=s030.09210+s030.09220+s030.09230+s030.09240+s030.09250</f>
        <v>1</v>
      </c>
    </row>
    <row r="178" spans="2:3" ht="11.25">
      <c r="B178" s="11" t="s">
        <v>21</v>
      </c>
      <c r="C178" s="12" t="b">
        <f>s030.08300=s030.08310+s030.08320+s030.08330</f>
        <v>1</v>
      </c>
    </row>
    <row r="179" spans="2:3" ht="11.25">
      <c r="B179" s="11" t="s">
        <v>22</v>
      </c>
      <c r="C179" s="12" t="b">
        <f>s030.09300=s030.09310+s030.09320+s030.09330</f>
        <v>1</v>
      </c>
    </row>
    <row r="180" spans="2:3" ht="11.25">
      <c r="B180" s="11" t="s">
        <v>23</v>
      </c>
      <c r="C180" s="12" t="b">
        <f>s030.08000=s030.08100+s030.08200+s030.08300</f>
        <v>1</v>
      </c>
    </row>
    <row r="181" spans="2:3" ht="11.25">
      <c r="B181" s="11" t="s">
        <v>24</v>
      </c>
      <c r="C181" s="12" t="b">
        <f>s030.09000=s030.09100+s030.09200+s030.09300</f>
        <v>1</v>
      </c>
    </row>
    <row r="182" spans="2:3" ht="11.25">
      <c r="B182" s="11" t="s">
        <v>25</v>
      </c>
      <c r="C182" s="12" t="b">
        <f>s030.08400=s030.08410+s030.08420</f>
        <v>1</v>
      </c>
    </row>
    <row r="183" spans="2:3" ht="11.25">
      <c r="B183" s="11" t="s">
        <v>26</v>
      </c>
      <c r="C183" s="12" t="b">
        <f>s030.09400=s030.09410+s030.09420</f>
        <v>1</v>
      </c>
    </row>
    <row r="184" spans="2:3" ht="11.25">
      <c r="B184" s="11" t="s">
        <v>27</v>
      </c>
      <c r="C184" s="12" t="b">
        <f>s030.08500=s030.08510+s030.08520</f>
        <v>1</v>
      </c>
    </row>
    <row r="185" spans="2:3" ht="11.25">
      <c r="B185" s="11" t="s">
        <v>28</v>
      </c>
      <c r="C185" s="12" t="b">
        <f>s030.09500=s030.09510+s030.09520</f>
        <v>1</v>
      </c>
    </row>
    <row r="186" spans="2:3" ht="11.25">
      <c r="B186" s="11" t="s">
        <v>29</v>
      </c>
      <c r="C186" s="12" t="b">
        <f>s030.08600=s030.08610+s030.08620+s030.08630</f>
        <v>1</v>
      </c>
    </row>
    <row r="187" spans="2:3" ht="11.25">
      <c r="B187" s="11" t="s">
        <v>30</v>
      </c>
      <c r="C187" s="12" t="b">
        <f>s030.09600=s030.09610+s030.09620+s030.09630</f>
        <v>1</v>
      </c>
    </row>
    <row r="188" spans="2:3" ht="11.25">
      <c r="B188" s="11" t="s">
        <v>31</v>
      </c>
      <c r="C188" s="12" t="b">
        <f>s030.08700=s030.08710+s030.08720+s030.08730+s030.08740+s030.08750+s030.08770+s030.08780</f>
        <v>1</v>
      </c>
    </row>
    <row r="189" spans="2:3" ht="11.25">
      <c r="B189" s="11" t="s">
        <v>32</v>
      </c>
      <c r="C189" s="12" t="b">
        <f>s030.09700=s030.09710+s030.09720+s030.09730+s030.09740+s030.09750+s030.09770+s030.09780</f>
        <v>1</v>
      </c>
    </row>
    <row r="190" spans="2:3" ht="11.25">
      <c r="B190" s="11" t="s">
        <v>2406</v>
      </c>
      <c r="C190" s="12" t="b">
        <f>s030.08350=s030.08400+s030.08500+s030.08600+s030.08700</f>
        <v>1</v>
      </c>
    </row>
    <row r="191" spans="2:3" ht="11.25">
      <c r="B191" s="11" t="s">
        <v>2407</v>
      </c>
      <c r="C191" s="12" t="b">
        <f>s030.09350=s030.09400+s030.09500+s030.09600+s030.09700</f>
        <v>1</v>
      </c>
    </row>
    <row r="192" spans="2:3" ht="11.25">
      <c r="B192" s="11" t="s">
        <v>2408</v>
      </c>
      <c r="C192" s="12" t="b">
        <f>s030.08800=s030.08000+s030.08350</f>
        <v>1</v>
      </c>
    </row>
    <row r="193" spans="2:3" ht="11.25">
      <c r="B193" s="11" t="s">
        <v>2409</v>
      </c>
      <c r="C193" s="12" t="b">
        <f>s030.09800=s030.09000+s030.09350</f>
        <v>1</v>
      </c>
    </row>
    <row r="194" spans="2:3" ht="11.25">
      <c r="B194" s="11" t="s">
        <v>2410</v>
      </c>
      <c r="C194" s="12" t="b">
        <f>s040.06100=0</f>
        <v>1</v>
      </c>
    </row>
    <row r="195" spans="2:3" ht="11.25">
      <c r="B195" s="11" t="s">
        <v>2411</v>
      </c>
      <c r="C195" s="12" t="b">
        <f>s040.07100=0</f>
        <v>1</v>
      </c>
    </row>
    <row r="196" spans="2:3" ht="11.25">
      <c r="B196" s="11" t="s">
        <v>2412</v>
      </c>
      <c r="C196" s="12" t="b">
        <f>s040.06200=0</f>
        <v>1</v>
      </c>
    </row>
    <row r="197" spans="2:3" ht="11.25">
      <c r="B197" s="11" t="s">
        <v>2413</v>
      </c>
      <c r="C197" s="12" t="b">
        <f>s040.07200=0</f>
        <v>1</v>
      </c>
    </row>
    <row r="198" spans="2:3" ht="11.25">
      <c r="B198" s="11" t="s">
        <v>2414</v>
      </c>
      <c r="C198" s="12" t="b">
        <f>s040.06400=0</f>
        <v>1</v>
      </c>
    </row>
    <row r="199" spans="2:3" ht="11.25">
      <c r="B199" s="11" t="s">
        <v>2415</v>
      </c>
      <c r="C199" s="12" t="b">
        <f>s040.07400=0</f>
        <v>1</v>
      </c>
    </row>
    <row r="200" spans="2:3" ht="11.25">
      <c r="B200" s="11" t="s">
        <v>2416</v>
      </c>
      <c r="C200" s="12" t="b">
        <f>s040.06500=0</f>
        <v>1</v>
      </c>
    </row>
    <row r="201" spans="2:3" ht="11.25">
      <c r="B201" s="11" t="s">
        <v>2417</v>
      </c>
      <c r="C201" s="12" t="b">
        <f>s040.07500=0</f>
        <v>1</v>
      </c>
    </row>
    <row r="202" spans="2:3" ht="11.25">
      <c r="B202" s="11" t="s">
        <v>2418</v>
      </c>
      <c r="C202" s="12" t="b">
        <f>s040.06010=s040.06020+s040.06021</f>
        <v>1</v>
      </c>
    </row>
    <row r="203" spans="2:3" ht="11.25">
      <c r="B203" s="11" t="s">
        <v>499</v>
      </c>
      <c r="C203" s="12" t="b">
        <f>s040.07010=s040.07020+s040.07021</f>
        <v>1</v>
      </c>
    </row>
    <row r="204" spans="2:3" ht="11.25">
      <c r="B204" s="11" t="s">
        <v>500</v>
      </c>
      <c r="C204" s="12" t="b">
        <f>s040.06100=s040.06010+s040.06022+s040.06030+s040.06040</f>
        <v>1</v>
      </c>
    </row>
    <row r="205" spans="2:3" ht="11.25">
      <c r="B205" s="11" t="s">
        <v>501</v>
      </c>
      <c r="C205" s="12" t="b">
        <f>s040.07100=s040.07010+s040.07022+s040.07030+s040.07040</f>
        <v>1</v>
      </c>
    </row>
    <row r="206" spans="2:3" ht="11.25">
      <c r="B206" s="11" t="s">
        <v>502</v>
      </c>
      <c r="C206" s="12" t="b">
        <f>s040.06110=s040.06120+s040.06121</f>
        <v>1</v>
      </c>
    </row>
    <row r="207" spans="2:3" ht="11.25">
      <c r="B207" s="11" t="s">
        <v>503</v>
      </c>
      <c r="C207" s="12" t="b">
        <f>s040.07110=s040.07120+s040.07121</f>
        <v>1</v>
      </c>
    </row>
    <row r="208" spans="2:3" ht="11.25">
      <c r="B208" s="11" t="s">
        <v>504</v>
      </c>
      <c r="C208" s="12" t="b">
        <f>s040.06200=s040.06110+s040.06122+s040.06130+s040.06140</f>
        <v>1</v>
      </c>
    </row>
    <row r="209" spans="2:3" ht="11.25">
      <c r="B209" s="11" t="s">
        <v>505</v>
      </c>
      <c r="C209" s="12" t="b">
        <f>s040.07200=s040.07110+s040.07122+s040.07130+s040.07140</f>
        <v>1</v>
      </c>
    </row>
    <row r="210" spans="2:3" ht="11.25">
      <c r="B210" s="11" t="s">
        <v>506</v>
      </c>
      <c r="C210" s="12" t="b">
        <f>s040.06310=s040.06320+s040.06321</f>
        <v>1</v>
      </c>
    </row>
    <row r="211" spans="2:3" ht="11.25">
      <c r="B211" s="11" t="s">
        <v>507</v>
      </c>
      <c r="C211" s="12" t="b">
        <f>s040.07310=s040.07320+s040.07321</f>
        <v>1</v>
      </c>
    </row>
    <row r="212" spans="2:3" ht="11.25">
      <c r="B212" s="11" t="s">
        <v>508</v>
      </c>
      <c r="C212" s="12" t="b">
        <f>s040.06400=s040.06310+s040.06322+s040.06330</f>
        <v>1</v>
      </c>
    </row>
    <row r="213" spans="2:3" ht="11.25">
      <c r="B213" s="11" t="s">
        <v>509</v>
      </c>
      <c r="C213" s="12" t="b">
        <f>s040.07400=s040.07310+s040.07322+s040.07330</f>
        <v>1</v>
      </c>
    </row>
    <row r="214" spans="2:3" ht="11.25">
      <c r="B214" s="11" t="s">
        <v>510</v>
      </c>
      <c r="C214" s="12" t="b">
        <f>s040.06500=s040.06100+s040.06200+s040.06400</f>
        <v>1</v>
      </c>
    </row>
    <row r="215" spans="2:3" ht="11.25">
      <c r="B215" s="11" t="s">
        <v>511</v>
      </c>
      <c r="C215" s="12" t="b">
        <f>s040.07500=s040.07100+s040.07200+s040.07400</f>
        <v>1</v>
      </c>
    </row>
    <row r="216" spans="2:3" ht="11.25">
      <c r="B216" s="11" t="s">
        <v>588</v>
      </c>
      <c r="C216" s="12" t="b">
        <f>s051.00204=s051.00214-s051.00200-s051.00201-s051.00203</f>
        <v>0</v>
      </c>
    </row>
    <row r="217" spans="2:3" ht="11.25">
      <c r="B217" s="11" t="s">
        <v>512</v>
      </c>
      <c r="C217" s="12" t="b">
        <f>s051.00204=s051.00050</f>
        <v>1</v>
      </c>
    </row>
    <row r="218" spans="2:3" ht="11.25">
      <c r="B218" s="11" t="s">
        <v>513</v>
      </c>
      <c r="C218" s="12" t="b">
        <f>s051.00214=s051.00110</f>
        <v>1</v>
      </c>
    </row>
    <row r="219" spans="2:3" ht="11.25">
      <c r="B219" s="11" t="s">
        <v>514</v>
      </c>
      <c r="C219" s="12" t="b">
        <f>IF(AND(NOT(ISBLANK(s051.00839)),NOT(s051.00839=0)),s051.00849=(s051.00829/s051.00839),IF(AND(OR(ISBLANK(s051.00849),(s051.00849=0)),OR(ISBLANK(s051.00829),(s051.00829=0))),TRUE,FALSE))</f>
        <v>1</v>
      </c>
    </row>
    <row r="220" spans="2:3" ht="11.25">
      <c r="B220" s="11" t="s">
        <v>515</v>
      </c>
      <c r="C220" s="12" t="b">
        <f>s051.00050=s051.01316</f>
        <v>1</v>
      </c>
    </row>
    <row r="221" spans="2:3" ht="11.25">
      <c r="B221" s="11" t="s">
        <v>516</v>
      </c>
      <c r="C221" s="12" t="b">
        <f>s051.00021=s051.01306</f>
        <v>1</v>
      </c>
    </row>
    <row r="222" spans="2:3" ht="11.25">
      <c r="B222" s="11" t="s">
        <v>517</v>
      </c>
      <c r="C222" s="12" t="b">
        <f>s051.00080=s051.01326</f>
        <v>1</v>
      </c>
    </row>
    <row r="223" spans="2:3" ht="11.25">
      <c r="B223" s="11" t="s">
        <v>518</v>
      </c>
      <c r="C223" s="12" t="b">
        <f>s051.00110=s051.01336</f>
        <v>1</v>
      </c>
    </row>
    <row r="224" spans="2:3" ht="11.25">
      <c r="B224" s="11" t="s">
        <v>519</v>
      </c>
      <c r="C224" s="12" t="b">
        <f>s051.00140=s051.01346</f>
        <v>1</v>
      </c>
    </row>
    <row r="225" spans="2:3" ht="11.25">
      <c r="B225" s="11" t="s">
        <v>520</v>
      </c>
      <c r="C225" s="12" t="b">
        <f>s051.00170=s051.01356</f>
        <v>1</v>
      </c>
    </row>
    <row r="226" spans="2:3" ht="33.75">
      <c r="B226" s="28" t="s">
        <v>33</v>
      </c>
      <c r="C226" s="12" t="b">
        <f>s051.00021=s051.00001+s051.00002+s051.00003+s051.00004+s051.00005+s051.00007+s051.00008+s051.00009+s051.00010+s051.00011+s051.00012+s051.00013+s051.00014+s051.00015+s051.00016+s051.00017+s051.00018+s051.00019+s051.00020</f>
        <v>1</v>
      </c>
    </row>
    <row r="227" spans="2:3" ht="33.75">
      <c r="B227" s="28" t="s">
        <v>60</v>
      </c>
      <c r="C227" s="12" t="b">
        <f>s051.00050=s051.00030+s051.00031+s051.00032+s051.00033+s051.00034+s051.00036+s051.00037+s051.00038+s051.00039+s051.00040+s051.00041+s051.00042+s051.00043+s051.00044+s051.00045+s051.00046+s051.00047+s051.00048+s051.00049</f>
        <v>1</v>
      </c>
    </row>
    <row r="228" spans="2:3" ht="33.75">
      <c r="B228" s="28" t="s">
        <v>2430</v>
      </c>
      <c r="C228" s="12" t="b">
        <f>s051.00080=s051.00060+s051.00061+s051.00062+s051.00063+s051.00064+s051.00066+s051.00067+s051.00068+s051.00069+s051.00070+s051.00071+s051.00072+s051.00073+s051.00074+s051.00075+s051.00076+s051.00077+s051.00078+s051.00079</f>
        <v>1</v>
      </c>
    </row>
    <row r="229" spans="2:3" ht="33.75">
      <c r="B229" s="28" t="s">
        <v>2431</v>
      </c>
      <c r="C229" s="12" t="b">
        <f>s051.00110=s051.00090+s051.00091+s051.00092+s051.00093+s051.00094+s051.00096+s051.00097+s051.00098+s051.00099+s051.00100+s051.00101+s051.00102+s051.00103+s051.00104+s051.00105+s051.00106+s051.00107+s051.00108+s051.00109</f>
        <v>1</v>
      </c>
    </row>
    <row r="230" spans="2:3" ht="33.75">
      <c r="B230" s="28" t="s">
        <v>2432</v>
      </c>
      <c r="C230" s="12" t="b">
        <f>s051.00140=s051.00120+s051.00121+s051.00122+s051.00123+s051.00124+s051.00126+s051.00127+s051.00128+s051.00129+s051.00130+s051.00131+s051.00132+s051.00133+s051.00134+s051.00135+s051.00136+s051.00137+s051.00138+s051.00139</f>
        <v>1</v>
      </c>
    </row>
    <row r="231" spans="2:3" ht="33.75">
      <c r="B231" s="28" t="s">
        <v>2433</v>
      </c>
      <c r="C231" s="12" t="b">
        <f>s051.00170=s051.00150+s051.00151+s051.00152+s051.00153+s051.00154+s051.00156+s051.00157+s051.00158+s051.00159+s051.00160+s051.00161+s051.00162+s051.00163+s051.00164+s051.00165+s051.00166+s051.00167+s051.00168+s051.00169</f>
        <v>1</v>
      </c>
    </row>
    <row r="232" spans="2:3" ht="22.5">
      <c r="B232" s="11" t="s">
        <v>2434</v>
      </c>
      <c r="C232" s="12" t="b">
        <f>s051.00709=s051.00700+s051.00701+s051.00702+s051.00703+s051.00704+s051.00705+s051.00706+s051.00707+s051.00708</f>
        <v>1</v>
      </c>
    </row>
    <row r="233" spans="2:3" ht="22.5">
      <c r="B233" s="11" t="s">
        <v>2435</v>
      </c>
      <c r="C233" s="12" t="b">
        <f>s051.00719=s051.00710+s051.00711+s051.00712+s051.00713+s051.00714+s051.00715+s051.00716+s051.00717+s051.00718</f>
        <v>1</v>
      </c>
    </row>
    <row r="234" spans="2:3" ht="22.5">
      <c r="B234" s="11" t="s">
        <v>2436</v>
      </c>
      <c r="C234" s="12" t="b">
        <f>s051.00729=s051.00720+s051.00721+s051.00722+s051.00723+s051.00724+s051.00725+s051.00726+s051.00727+s051.00728</f>
        <v>1</v>
      </c>
    </row>
    <row r="235" spans="2:3" ht="11.25">
      <c r="B235" s="11" t="s">
        <v>2386</v>
      </c>
      <c r="C235" s="12" t="b">
        <f>s051.00730=s051.00710+s051.00720</f>
        <v>1</v>
      </c>
    </row>
    <row r="236" spans="2:3" ht="11.25">
      <c r="B236" s="11" t="s">
        <v>2387</v>
      </c>
      <c r="C236" s="12" t="b">
        <f>s051.00731=s051.00711+s051.00721</f>
        <v>1</v>
      </c>
    </row>
    <row r="237" spans="2:3" ht="11.25">
      <c r="B237" s="11" t="s">
        <v>2388</v>
      </c>
      <c r="C237" s="12" t="b">
        <f>s051.00732=s051.00712+s051.00722</f>
        <v>1</v>
      </c>
    </row>
    <row r="238" spans="2:3" ht="11.25">
      <c r="B238" s="11" t="s">
        <v>2389</v>
      </c>
      <c r="C238" s="12" t="b">
        <f>s051.00733=s051.00713+s051.00723</f>
        <v>1</v>
      </c>
    </row>
    <row r="239" spans="2:3" ht="11.25">
      <c r="B239" s="11" t="s">
        <v>2390</v>
      </c>
      <c r="C239" s="12" t="b">
        <f>s051.00734=s051.00714+s051.00724</f>
        <v>1</v>
      </c>
    </row>
    <row r="240" spans="2:3" ht="11.25">
      <c r="B240" s="11" t="s">
        <v>2391</v>
      </c>
      <c r="C240" s="12" t="b">
        <f>s051.00735=s051.00715+s051.00725</f>
        <v>1</v>
      </c>
    </row>
    <row r="241" spans="2:3" ht="11.25">
      <c r="B241" s="11" t="s">
        <v>2392</v>
      </c>
      <c r="C241" s="12" t="b">
        <f>s051.00736=s051.00716+s051.00726</f>
        <v>1</v>
      </c>
    </row>
    <row r="242" spans="2:3" ht="11.25">
      <c r="B242" s="11" t="s">
        <v>2393</v>
      </c>
      <c r="C242" s="12" t="b">
        <f>s051.00737=s051.00717+s051.00727</f>
        <v>1</v>
      </c>
    </row>
    <row r="243" spans="2:3" ht="11.25">
      <c r="B243" s="11" t="s">
        <v>2394</v>
      </c>
      <c r="C243" s="12" t="b">
        <f>s051.00738=s051.00718+s051.00728</f>
        <v>1</v>
      </c>
    </row>
    <row r="244" spans="2:3" ht="22.5">
      <c r="B244" s="11" t="s">
        <v>2419</v>
      </c>
      <c r="C244" s="12" t="b">
        <f>s051.00739=s051.00730+s051.00731+s051.00732+s051.00733+s051.00734+s051.00735+s051.00736+s051.00737+s051.00738</f>
        <v>1</v>
      </c>
    </row>
    <row r="245" spans="2:3" ht="22.5">
      <c r="B245" s="11" t="s">
        <v>2420</v>
      </c>
      <c r="C245" s="12" t="b">
        <f>s051.00749=s051.00740+s051.00741+s051.00742+s051.00743+s051.00744+s051.00745+s051.00746+s051.00747+s051.00748</f>
        <v>1</v>
      </c>
    </row>
    <row r="246" spans="2:3" ht="22.5">
      <c r="B246" s="11" t="s">
        <v>2421</v>
      </c>
      <c r="C246" s="12" t="b">
        <f>s051.00759=s051.00750+s051.00751+s051.00752+s051.00753+s051.00754+s051.00755+s051.00756+s051.00757+s051.00758</f>
        <v>1</v>
      </c>
    </row>
    <row r="247" spans="2:3" ht="22.5">
      <c r="B247" s="11" t="s">
        <v>2422</v>
      </c>
      <c r="C247" s="12" t="b">
        <f>s051.00779=s051.00770+s051.00771+s051.00772+s051.00773+s051.00774+s051.00775+s051.00776+s051.00777+s051.00778</f>
        <v>1</v>
      </c>
    </row>
    <row r="248" spans="2:3" ht="22.5">
      <c r="B248" s="11" t="s">
        <v>2423</v>
      </c>
      <c r="C248" s="12" t="b">
        <f>s051.00789=s051.00780+s051.00781+s051.00782+s051.00783+s051.00784+s051.00785+s051.00786+s051.00787+s051.00788</f>
        <v>1</v>
      </c>
    </row>
    <row r="249" spans="2:3" ht="22.5">
      <c r="B249" s="11" t="s">
        <v>2424</v>
      </c>
      <c r="C249" s="12" t="b">
        <f>s051.00799=s051.00790+s051.00791+s051.00792+s051.00793+s051.00794+s051.00795+s051.00796+s051.00797+s051.00798</f>
        <v>1</v>
      </c>
    </row>
    <row r="250" spans="2:3" ht="11.25">
      <c r="B250" s="11" t="s">
        <v>2425</v>
      </c>
      <c r="C250" s="12" t="b">
        <f>s051.00800=s051.00780+s051.00790</f>
        <v>1</v>
      </c>
    </row>
    <row r="251" spans="2:3" ht="11.25">
      <c r="B251" s="11" t="s">
        <v>2426</v>
      </c>
      <c r="C251" s="12" t="b">
        <f>s051.00801=s051.00781+s051.00791</f>
        <v>1</v>
      </c>
    </row>
    <row r="252" spans="2:3" ht="11.25">
      <c r="B252" s="11" t="s">
        <v>2427</v>
      </c>
      <c r="C252" s="12" t="b">
        <f>s051.00802=s051.00782+s051.00792</f>
        <v>1</v>
      </c>
    </row>
    <row r="253" spans="2:3" ht="11.25">
      <c r="B253" s="11" t="s">
        <v>2428</v>
      </c>
      <c r="C253" s="12" t="b">
        <f>s051.00803=s051.00783+s051.00793</f>
        <v>1</v>
      </c>
    </row>
    <row r="254" spans="2:3" ht="11.25">
      <c r="B254" s="11" t="s">
        <v>2429</v>
      </c>
      <c r="C254" s="12" t="b">
        <f>s051.00804=s051.00784+s051.00794</f>
        <v>1</v>
      </c>
    </row>
    <row r="255" spans="2:3" ht="11.25">
      <c r="B255" s="11" t="s">
        <v>1038</v>
      </c>
      <c r="C255" s="12" t="b">
        <f>s051.00805=s051.00785+s051.00795</f>
        <v>1</v>
      </c>
    </row>
    <row r="256" spans="2:3" ht="11.25">
      <c r="B256" s="11" t="s">
        <v>1039</v>
      </c>
      <c r="C256" s="12" t="b">
        <f>s051.00806=s051.00786+s051.00796</f>
        <v>1</v>
      </c>
    </row>
    <row r="257" spans="2:3" ht="11.25">
      <c r="B257" s="11" t="s">
        <v>1040</v>
      </c>
      <c r="C257" s="12" t="b">
        <f>s051.00807=s051.00787+s051.00797</f>
        <v>1</v>
      </c>
    </row>
    <row r="258" spans="2:3" ht="11.25">
      <c r="B258" s="11" t="s">
        <v>1041</v>
      </c>
      <c r="C258" s="12" t="b">
        <f>s051.00808=s051.00788+s051.00798</f>
        <v>1</v>
      </c>
    </row>
    <row r="259" spans="2:3" ht="22.5">
      <c r="B259" s="11" t="s">
        <v>1042</v>
      </c>
      <c r="C259" s="12" t="b">
        <f>s051.00819=s051.00810+s051.00811+s051.00812+s051.00813+s051.00814+s051.00815+s051.00816+s051.00817+s051.00818</f>
        <v>1</v>
      </c>
    </row>
    <row r="260" spans="2:3" ht="11.25">
      <c r="B260" s="11" t="s">
        <v>1043</v>
      </c>
      <c r="C260" s="12" t="b">
        <f>s051.00820=s051.00800+s051.00810</f>
        <v>1</v>
      </c>
    </row>
    <row r="261" spans="2:3" ht="11.25">
      <c r="B261" s="11" t="s">
        <v>1044</v>
      </c>
      <c r="C261" s="12" t="b">
        <f>s051.00821=s051.00801+s051.00811</f>
        <v>1</v>
      </c>
    </row>
    <row r="262" spans="2:3" ht="11.25">
      <c r="B262" s="11" t="s">
        <v>1045</v>
      </c>
      <c r="C262" s="12" t="b">
        <f>s051.00822=s051.00802+s051.00812</f>
        <v>1</v>
      </c>
    </row>
    <row r="263" spans="2:3" ht="11.25">
      <c r="B263" s="11" t="s">
        <v>1046</v>
      </c>
      <c r="C263" s="12" t="b">
        <f>s051.00823=s051.00803+s051.00813</f>
        <v>1</v>
      </c>
    </row>
    <row r="264" spans="2:3" ht="11.25">
      <c r="B264" s="11" t="s">
        <v>1047</v>
      </c>
      <c r="C264" s="12" t="b">
        <f>s051.00824=s051.00804+s051.00814</f>
        <v>1</v>
      </c>
    </row>
    <row r="265" spans="2:3" ht="11.25">
      <c r="B265" s="11" t="s">
        <v>1048</v>
      </c>
      <c r="C265" s="12" t="b">
        <f>s051.00825=s051.00805+s051.00815</f>
        <v>1</v>
      </c>
    </row>
    <row r="266" spans="2:3" ht="11.25">
      <c r="B266" s="11" t="s">
        <v>1049</v>
      </c>
      <c r="C266" s="12" t="b">
        <f>s051.00826=s051.00806+s051.00816</f>
        <v>1</v>
      </c>
    </row>
    <row r="267" spans="2:3" ht="11.25">
      <c r="B267" s="11" t="s">
        <v>1050</v>
      </c>
      <c r="C267" s="12" t="b">
        <f>s051.00827=s051.00807+s051.00817</f>
        <v>1</v>
      </c>
    </row>
    <row r="268" spans="2:3" ht="11.25">
      <c r="B268" s="11" t="s">
        <v>1051</v>
      </c>
      <c r="C268" s="12" t="b">
        <f>s051.00828=s051.00808+s051.00818</f>
        <v>1</v>
      </c>
    </row>
    <row r="269" spans="2:3" ht="22.5">
      <c r="B269" s="11" t="s">
        <v>1052</v>
      </c>
      <c r="C269" s="12" t="b">
        <f>s051.00829=s051.00820+s051.00821+s051.00822+s051.00823+s051.00824+s051.00825+s051.00826+s051.00827+s051.00828</f>
        <v>1</v>
      </c>
    </row>
    <row r="270" spans="2:3" ht="22.5">
      <c r="B270" s="11" t="s">
        <v>1053</v>
      </c>
      <c r="C270" s="12" t="b">
        <f>s051.00839=s051.00830+s051.00831+s051.00832+s051.00833+s051.00834+s051.00835+s051.00836+s051.00837+s051.00838</f>
        <v>1</v>
      </c>
    </row>
    <row r="271" spans="2:3" ht="11.25">
      <c r="B271" s="11" t="s">
        <v>1054</v>
      </c>
      <c r="C271" s="12" t="b">
        <f>s051.01306=s051.01300+s051.01301+s051.01302+s051.01303+s051.01304+s051.01305</f>
        <v>1</v>
      </c>
    </row>
    <row r="272" spans="2:3" ht="11.25">
      <c r="B272" s="11" t="s">
        <v>59</v>
      </c>
      <c r="C272" s="12" t="b">
        <f>s051.01316=s051.01310+s051.01311+s051.01312+s051.01313+s051.01314+s051.01315</f>
        <v>1</v>
      </c>
    </row>
    <row r="273" spans="2:3" ht="11.25">
      <c r="B273" s="11" t="s">
        <v>1037</v>
      </c>
      <c r="C273" s="12" t="b">
        <f>s051.01326=s051.01320+s051.01321+s051.01322+s051.01323+s051.01324+s051.01325</f>
        <v>1</v>
      </c>
    </row>
    <row r="274" spans="2:3" ht="11.25">
      <c r="B274" s="11" t="s">
        <v>1055</v>
      </c>
      <c r="C274" s="12" t="b">
        <f>s051.01336=s051.01330+s051.01331+s051.01332+s051.01333+s051.01334+s051.01335</f>
        <v>1</v>
      </c>
    </row>
    <row r="275" spans="2:3" ht="11.25">
      <c r="B275" s="11" t="s">
        <v>1056</v>
      </c>
      <c r="C275" s="12" t="b">
        <f>s051.01346=s051.01340+s051.01341+s051.01342+s051.01343+s051.01344+s051.01345</f>
        <v>1</v>
      </c>
    </row>
    <row r="276" spans="2:3" ht="11.25">
      <c r="B276" s="11" t="s">
        <v>1057</v>
      </c>
      <c r="C276" s="12" t="b">
        <f>s051.01356=s051.01350+s051.01351+s051.01352+s051.01353+s051.01354+s051.01355</f>
        <v>1</v>
      </c>
    </row>
    <row r="277" spans="2:3" ht="11.25">
      <c r="B277" s="11" t="s">
        <v>1058</v>
      </c>
      <c r="C277" s="12" t="b">
        <f>s052.09115=s052.08025</f>
        <v>1</v>
      </c>
    </row>
    <row r="278" spans="2:3" ht="11.25">
      <c r="B278" s="11" t="s">
        <v>1059</v>
      </c>
      <c r="C278" s="12" t="b">
        <f>s052.07315=s052.07355+s052.07305</f>
        <v>1</v>
      </c>
    </row>
    <row r="279" spans="2:3" ht="11.25">
      <c r="B279" s="11" t="s">
        <v>1060</v>
      </c>
      <c r="C279" s="12" t="b">
        <f>s052.07335=s052.07375+s052.07325</f>
        <v>1</v>
      </c>
    </row>
    <row r="280" spans="2:3" ht="11.25">
      <c r="B280" s="11" t="s">
        <v>1791</v>
      </c>
      <c r="C280" s="12" t="b">
        <f>s052.08005=ele_s052_08005</f>
        <v>1</v>
      </c>
    </row>
    <row r="281" spans="2:3" ht="11.25">
      <c r="B281" s="11" t="s">
        <v>1792</v>
      </c>
      <c r="C281" s="12" t="b">
        <f>s052.08025=ele_s052_08025</f>
        <v>1</v>
      </c>
    </row>
    <row r="282" spans="2:3" ht="11.25">
      <c r="B282" s="11" t="s">
        <v>554</v>
      </c>
      <c r="C282" s="12" t="b">
        <f>s052.08045=ele_s052_08045</f>
        <v>1</v>
      </c>
    </row>
    <row r="283" spans="2:3" ht="11.25">
      <c r="B283" s="11" t="s">
        <v>555</v>
      </c>
      <c r="C283" s="12" t="b">
        <f>s052.08065=ele_s052_08065</f>
        <v>1</v>
      </c>
    </row>
    <row r="284" spans="2:3" ht="11.25">
      <c r="B284" s="11" t="s">
        <v>556</v>
      </c>
      <c r="C284" s="12" t="b">
        <f>s052.08085=ele_s052_08085</f>
        <v>1</v>
      </c>
    </row>
    <row r="285" spans="2:3" ht="11.25">
      <c r="B285" s="11" t="s">
        <v>557</v>
      </c>
      <c r="C285" s="12" t="b">
        <f>s052.08105=ele_s052_08105</f>
        <v>1</v>
      </c>
    </row>
    <row r="286" spans="2:3" ht="11.25">
      <c r="B286" s="11" t="s">
        <v>558</v>
      </c>
      <c r="C286" s="12" t="b">
        <f>s052.09228=ele_s052_09228</f>
        <v>1</v>
      </c>
    </row>
    <row r="287" spans="2:3" ht="11.25">
      <c r="B287" s="11" t="s">
        <v>559</v>
      </c>
      <c r="C287" s="12" t="b">
        <f>s052.09085=ele_s052_09085</f>
        <v>1</v>
      </c>
    </row>
    <row r="288" spans="2:3" ht="11.25">
      <c r="B288" s="11" t="s">
        <v>560</v>
      </c>
      <c r="C288" s="12" t="b">
        <f>s052.09095=ele_s052_09095</f>
        <v>1</v>
      </c>
    </row>
    <row r="289" spans="2:3" ht="11.25">
      <c r="B289" s="11" t="s">
        <v>561</v>
      </c>
      <c r="C289" s="12" t="b">
        <f>s052.09105=ele_s052_09105</f>
        <v>1</v>
      </c>
    </row>
    <row r="290" spans="2:3" ht="11.25">
      <c r="B290" s="11" t="s">
        <v>562</v>
      </c>
      <c r="C290" s="12" t="b">
        <f>s052.09115=ele_s052_09115</f>
        <v>1</v>
      </c>
    </row>
    <row r="291" spans="2:3" ht="11.25">
      <c r="B291" s="11" t="s">
        <v>563</v>
      </c>
      <c r="C291" s="12" t="b">
        <f>s052.07305=ele_s052_07305</f>
        <v>1</v>
      </c>
    </row>
    <row r="292" spans="2:3" ht="11.25">
      <c r="B292" s="11" t="s">
        <v>564</v>
      </c>
      <c r="C292" s="12" t="b">
        <f>s052.07315=ele_s052_07315</f>
        <v>1</v>
      </c>
    </row>
    <row r="293" spans="2:3" ht="11.25">
      <c r="B293" s="11" t="s">
        <v>565</v>
      </c>
      <c r="C293" s="12" t="b">
        <f>s052.07325=ele_s052_07325</f>
        <v>1</v>
      </c>
    </row>
    <row r="294" spans="2:3" ht="11.25">
      <c r="B294" s="11" t="s">
        <v>566</v>
      </c>
      <c r="C294" s="12" t="b">
        <f>s052.07335=ele_s052_07335</f>
        <v>1</v>
      </c>
    </row>
    <row r="295" spans="2:3" ht="11.25">
      <c r="B295" s="11" t="s">
        <v>567</v>
      </c>
      <c r="C295" s="447" t="b">
        <f>s052.07345=ele_s052_07345</f>
        <v>1</v>
      </c>
    </row>
    <row r="296" spans="2:3" ht="11.25">
      <c r="B296" s="11" t="s">
        <v>568</v>
      </c>
      <c r="C296" s="12" t="b">
        <f>s052.07355=ele_s052_07355</f>
        <v>1</v>
      </c>
    </row>
    <row r="297" spans="2:3" ht="11.25">
      <c r="B297" s="11" t="s">
        <v>569</v>
      </c>
      <c r="C297" s="12" t="b">
        <f>s052.07365=ele_s052_07365</f>
        <v>1</v>
      </c>
    </row>
    <row r="298" spans="2:3" ht="11.25">
      <c r="B298" s="11" t="s">
        <v>570</v>
      </c>
      <c r="C298" s="12" t="b">
        <f>s052.07375=ele_s052_07375</f>
        <v>1</v>
      </c>
    </row>
    <row r="299" spans="2:3" ht="11.25">
      <c r="B299" s="11" t="s">
        <v>2445</v>
      </c>
      <c r="C299" s="12" t="b">
        <f>IF(AND(NOT(ISBLANK(s051.00050)),NOT(s051.00050=0)),s053.00020=(s053.00010/s051.00050),IF(AND(OR(ISBLANK(s053.00020),(s053.00020=0)),OR(ISBLANK(s053.00010),(s053.00010=0))),TRUE,FALSE))</f>
        <v>1</v>
      </c>
    </row>
    <row r="300" spans="2:3" ht="11.25">
      <c r="B300" s="11" t="s">
        <v>2446</v>
      </c>
      <c r="C300" s="12" t="b">
        <f>s054.00120=s054.00100+s054.00110</f>
        <v>1</v>
      </c>
    </row>
    <row r="301" spans="2:3" ht="11.25">
      <c r="B301" s="11" t="s">
        <v>2447</v>
      </c>
      <c r="C301" s="12" t="b">
        <f>s054.00220=s054.00200+s054.00210</f>
        <v>1</v>
      </c>
    </row>
    <row r="302" spans="2:3" ht="11.25">
      <c r="B302" s="11" t="s">
        <v>2448</v>
      </c>
      <c r="C302" s="12" t="b">
        <f>s054.00150=s054.00130+s054.00140</f>
        <v>1</v>
      </c>
    </row>
    <row r="303" spans="2:3" ht="11.25">
      <c r="B303" s="11" t="s">
        <v>2449</v>
      </c>
      <c r="C303" s="12" t="b">
        <f>s054.00250=s054.00230+s054.00240</f>
        <v>1</v>
      </c>
    </row>
    <row r="304" spans="2:3" ht="11.25">
      <c r="B304" s="11" t="s">
        <v>2450</v>
      </c>
      <c r="C304" s="12" t="b">
        <f>s055.00425=s051.00021</f>
        <v>1</v>
      </c>
    </row>
    <row r="305" spans="2:3" ht="11.25">
      <c r="B305" s="11" t="s">
        <v>2451</v>
      </c>
      <c r="C305" s="12" t="b">
        <f>s055.00450=s051.00050</f>
        <v>1</v>
      </c>
    </row>
    <row r="306" spans="2:3" ht="11.25">
      <c r="B306" s="11" t="s">
        <v>2452</v>
      </c>
      <c r="C306" s="12" t="b">
        <f>s055.00475=s051.00080</f>
        <v>1</v>
      </c>
    </row>
    <row r="307" spans="2:3" ht="11.25">
      <c r="B307" s="11" t="s">
        <v>2453</v>
      </c>
      <c r="C307" s="12" t="b">
        <f>s055.00501=s051.00110</f>
        <v>1</v>
      </c>
    </row>
    <row r="308" spans="2:3" ht="11.25">
      <c r="B308" s="11" t="s">
        <v>2454</v>
      </c>
      <c r="C308" s="12" t="b">
        <f>s055.00527=s051.00140</f>
        <v>1</v>
      </c>
    </row>
    <row r="309" spans="2:3" ht="11.25">
      <c r="B309" s="11" t="s">
        <v>2455</v>
      </c>
      <c r="C309" s="12" t="b">
        <f>s055.00553=s051.00170</f>
        <v>1</v>
      </c>
    </row>
    <row r="310" spans="2:3" ht="11.25">
      <c r="B310" s="11" t="s">
        <v>2456</v>
      </c>
      <c r="C310" s="12" t="b">
        <f>s055.00576=s051.00021</f>
        <v>1</v>
      </c>
    </row>
    <row r="311" spans="2:3" ht="11.25">
      <c r="B311" s="11" t="s">
        <v>2457</v>
      </c>
      <c r="C311" s="12" t="b">
        <f>s055.00588=s051.00050</f>
        <v>1</v>
      </c>
    </row>
    <row r="312" spans="2:3" ht="11.25">
      <c r="B312" s="11" t="s">
        <v>2458</v>
      </c>
      <c r="C312" s="12" t="b">
        <f>s055.00605=s051.00080</f>
        <v>1</v>
      </c>
    </row>
    <row r="313" spans="2:3" ht="11.25">
      <c r="B313" s="11" t="s">
        <v>2459</v>
      </c>
      <c r="C313" s="12" t="b">
        <f>s055.00616=s051.00110</f>
        <v>1</v>
      </c>
    </row>
    <row r="314" spans="2:3" ht="11.25">
      <c r="B314" s="11" t="s">
        <v>2460</v>
      </c>
      <c r="C314" s="12" t="b">
        <f>s055.00625=s051.00140</f>
        <v>1</v>
      </c>
    </row>
    <row r="315" spans="2:3" ht="11.25">
      <c r="B315" s="11" t="s">
        <v>2461</v>
      </c>
      <c r="C315" s="12" t="b">
        <f>s055.00636=s051.00170</f>
        <v>1</v>
      </c>
    </row>
    <row r="316" spans="2:3" ht="11.25">
      <c r="B316" s="11" t="s">
        <v>2462</v>
      </c>
      <c r="C316" s="12" t="b">
        <f>s055.01405=s051.00021</f>
        <v>1</v>
      </c>
    </row>
    <row r="317" spans="2:3" ht="11.25">
      <c r="B317" s="11" t="s">
        <v>2463</v>
      </c>
      <c r="C317" s="12" t="b">
        <f>s055.01415=s051.00050</f>
        <v>1</v>
      </c>
    </row>
    <row r="318" spans="2:3" ht="11.25">
      <c r="B318" s="11" t="s">
        <v>2464</v>
      </c>
      <c r="C318" s="12" t="b">
        <f>s055.01520=s051.00021</f>
        <v>1</v>
      </c>
    </row>
    <row r="319" spans="2:3" ht="11.25">
      <c r="B319" s="11" t="s">
        <v>2465</v>
      </c>
      <c r="C319" s="12" t="b">
        <f>s055.01541=s051.00050</f>
        <v>1</v>
      </c>
    </row>
    <row r="320" spans="2:3" ht="11.25">
      <c r="B320" s="11" t="s">
        <v>2466</v>
      </c>
      <c r="C320" s="12" t="b">
        <f>s055.01562=s051.00080</f>
        <v>1</v>
      </c>
    </row>
    <row r="321" spans="2:3" ht="11.25">
      <c r="B321" s="11" t="s">
        <v>2467</v>
      </c>
      <c r="C321" s="12" t="b">
        <f>s055.01583=s051.00110</f>
        <v>1</v>
      </c>
    </row>
    <row r="322" spans="2:3" ht="11.25">
      <c r="B322" s="11" t="s">
        <v>2468</v>
      </c>
      <c r="C322" s="12" t="b">
        <f>s055.01604=s051.00140</f>
        <v>1</v>
      </c>
    </row>
    <row r="323" spans="2:3" ht="11.25">
      <c r="B323" s="11" t="s">
        <v>2469</v>
      </c>
      <c r="C323" s="12" t="b">
        <f>s055.01625=s051.00170</f>
        <v>1</v>
      </c>
    </row>
    <row r="324" spans="2:3" ht="11.25">
      <c r="B324" s="11" t="s">
        <v>571</v>
      </c>
      <c r="C324" s="12" t="b">
        <f>s055.03050=s052.08005</f>
        <v>1</v>
      </c>
    </row>
    <row r="325" spans="2:3" ht="11.25">
      <c r="B325" s="11" t="s">
        <v>1061</v>
      </c>
      <c r="C325" s="12" t="b">
        <f>s055.03160=s052.08025</f>
        <v>1</v>
      </c>
    </row>
    <row r="326" spans="2:3" ht="11.25">
      <c r="B326" s="11" t="s">
        <v>572</v>
      </c>
      <c r="C326" s="12" t="b">
        <f>s055.03220=s052.08085</f>
        <v>1</v>
      </c>
    </row>
    <row r="327" spans="2:3" ht="11.25">
      <c r="B327" s="11" t="s">
        <v>573</v>
      </c>
      <c r="C327" s="12" t="b">
        <f>s055.03300=s052.08105</f>
        <v>1</v>
      </c>
    </row>
    <row r="328" spans="2:3" ht="33.75">
      <c r="B328" s="28" t="s">
        <v>1062</v>
      </c>
      <c r="C328" s="12" t="b">
        <f>s055.00419=s055.00400+s055.00401+s055.00402+s055.00403+s055.00404+s055.00405+s055.00406+s055.00407+s055.00408+s055.00409+s055.00410+s055.00411+s055.00412+s055.00413+s055.00414+s055.00415+s055.00416+s055.00417+s055.00418</f>
        <v>1</v>
      </c>
    </row>
    <row r="329" spans="2:3" ht="11.25">
      <c r="B329" s="11" t="s">
        <v>1063</v>
      </c>
      <c r="C329" s="12" t="b">
        <f>s055.00425=s055.00419+s055.00420+s055.00422</f>
        <v>1</v>
      </c>
    </row>
    <row r="330" spans="2:3" ht="33.75">
      <c r="B330" s="28" t="s">
        <v>1064</v>
      </c>
      <c r="C330" s="12" t="b">
        <f>s055.00445=s055.00426+s055.00427+s055.00428+s055.00429+s055.00430+s055.00431+s055.00432+s055.00433+s055.00434+s055.00435+s055.00436+s055.00437+s055.00438+s055.00439+s055.00440+s055.00441+s055.00442+s055.00443+s055.00444</f>
        <v>1</v>
      </c>
    </row>
    <row r="331" spans="2:3" ht="11.25">
      <c r="B331" s="11" t="s">
        <v>1065</v>
      </c>
      <c r="C331" s="12" t="b">
        <f>s055.00450=s055.00445+s055.00446+s055.00448</f>
        <v>1</v>
      </c>
    </row>
    <row r="332" spans="2:3" ht="33.75">
      <c r="B332" s="28" t="s">
        <v>1066</v>
      </c>
      <c r="C332" s="12" t="b">
        <f>s055.00471=s055.00452+s055.00453+s055.00454+s055.00455+s055.00456+s055.00457+s055.00458+s055.00459+s055.00460+s055.00461+s055.00462+s055.00463+s055.00464+s055.00465+s055.00466+s055.00467+s055.00468+s055.00469+s055.00470</f>
        <v>1</v>
      </c>
    </row>
    <row r="333" spans="2:3" ht="11.25">
      <c r="B333" s="11" t="s">
        <v>1067</v>
      </c>
      <c r="C333" s="12" t="b">
        <f>s055.00475=s055.00471+s055.00472+s055.00474</f>
        <v>1</v>
      </c>
    </row>
    <row r="334" spans="2:3" ht="33.75">
      <c r="B334" s="28" t="s">
        <v>1068</v>
      </c>
      <c r="C334" s="12" t="b">
        <f>s055.00497=s055.00478+s055.00479+s055.00480+s055.00481+s055.00482+s055.00483+s055.00484+s055.00485+s055.00486+s055.00487+s055.00488+s055.00489+s055.00490+s055.00491+s055.00492+s055.00493+s055.00494+s055.00495+s055.00496</f>
        <v>1</v>
      </c>
    </row>
    <row r="335" spans="2:3" ht="11.25">
      <c r="B335" s="11" t="s">
        <v>1069</v>
      </c>
      <c r="C335" s="12" t="b">
        <f>s055.00501=s055.00497+s055.00498+s055.00500</f>
        <v>1</v>
      </c>
    </row>
    <row r="336" spans="2:3" ht="33.75">
      <c r="B336" s="28" t="s">
        <v>1070</v>
      </c>
      <c r="C336" s="12" t="b">
        <f>s055.00523=s055.00504+s055.00505+s055.00506+s055.00507+s055.00508+s055.00509+s055.00510+s055.00511+s055.00512+s055.00513+s055.00514+s055.00515+s055.00516+s055.00517+s055.00518+s055.00519+s055.00520+s055.00521+s055.00522</f>
        <v>1</v>
      </c>
    </row>
    <row r="337" spans="2:3" ht="11.25">
      <c r="B337" s="11" t="s">
        <v>1071</v>
      </c>
      <c r="C337" s="12" t="b">
        <f>s055.00527=s055.00523+s055.00524+s055.00526</f>
        <v>1</v>
      </c>
    </row>
    <row r="338" spans="2:3" ht="33.75">
      <c r="B338" s="28" t="s">
        <v>1072</v>
      </c>
      <c r="C338" s="12" t="b">
        <f>s055.00549=s055.00530+s055.00531+s055.00532+s055.00533+s055.00534+s055.00535+s055.00536+s055.00537+s055.00538+s055.00539+s055.00540+s055.00541+s055.00542+s055.00543+s055.00544+s055.00545+s055.00546+s055.00547+s055.00548</f>
        <v>1</v>
      </c>
    </row>
    <row r="339" spans="2:3" ht="11.25">
      <c r="B339" s="11" t="s">
        <v>1073</v>
      </c>
      <c r="C339" s="12" t="b">
        <f>s055.00553=s055.00549+s055.00550+s055.00552</f>
        <v>1</v>
      </c>
    </row>
    <row r="340" spans="2:3" ht="11.25">
      <c r="B340" s="11" t="s">
        <v>2136</v>
      </c>
      <c r="C340" s="12" t="b">
        <f>s055.00576=s055.00571+s055.00572+s055.00573+s055.00574+s055.00575</f>
        <v>1</v>
      </c>
    </row>
    <row r="341" spans="2:3" ht="11.25">
      <c r="B341" s="11" t="s">
        <v>2137</v>
      </c>
      <c r="C341" s="12" t="b">
        <f>s055.00588=s055.00583+s055.00584+s055.00585+s055.00586+s055.00587</f>
        <v>1</v>
      </c>
    </row>
    <row r="342" spans="2:3" ht="11.25">
      <c r="B342" s="11" t="s">
        <v>2138</v>
      </c>
      <c r="C342" s="12" t="b">
        <f>s055.00605=s055.00600+s055.00601+s055.00602+s055.00603+s055.00604</f>
        <v>1</v>
      </c>
    </row>
    <row r="343" spans="2:3" ht="11.25">
      <c r="B343" s="11" t="s">
        <v>2139</v>
      </c>
      <c r="C343" s="12" t="b">
        <f>s055.00616=s055.00611+s055.00612+s055.00613+s055.00614+s055.00615</f>
        <v>1</v>
      </c>
    </row>
    <row r="344" spans="2:3" ht="11.25">
      <c r="B344" s="11" t="s">
        <v>1138</v>
      </c>
      <c r="C344" s="12" t="b">
        <f>s055.00625=s055.00620+s055.00621+s055.00622+s055.00623+s055.00624</f>
        <v>1</v>
      </c>
    </row>
    <row r="345" spans="2:3" ht="11.25">
      <c r="B345" s="11" t="s">
        <v>1139</v>
      </c>
      <c r="C345" s="12" t="b">
        <f>s055.00636=s055.00631+s055.00632+s055.00633+s055.00634+s055.00635</f>
        <v>1</v>
      </c>
    </row>
    <row r="346" spans="2:3" ht="11.25">
      <c r="B346" s="11" t="s">
        <v>1140</v>
      </c>
      <c r="C346" s="12" t="b">
        <f>s055.01108=s055.01100+s055.01101+s055.01102+s055.01103+s055.01104+s055.01105+s055.01106+s055.01107</f>
        <v>1</v>
      </c>
    </row>
    <row r="347" spans="2:3" ht="11.25">
      <c r="B347" s="11" t="s">
        <v>1141</v>
      </c>
      <c r="C347" s="12" t="b">
        <f>s055.01118=s055.01110+s055.01111+s055.01112+s055.01113+s055.01114+s055.01115+s055.01116+s055.01117</f>
        <v>1</v>
      </c>
    </row>
    <row r="348" spans="2:3" ht="11.25">
      <c r="B348" s="11" t="s">
        <v>1142</v>
      </c>
      <c r="C348" s="12" t="b">
        <f>s055.01128=s055.01120+s055.01121+s055.01122+s055.01123+s055.01124+s055.01125+s055.01126+s055.01127</f>
        <v>1</v>
      </c>
    </row>
    <row r="349" spans="2:3" ht="11.25">
      <c r="B349" s="11" t="s">
        <v>1143</v>
      </c>
      <c r="C349" s="12" t="b">
        <f>s055.01138=s055.01130+s055.01131+s055.01132+s055.01133+s055.01134+s055.01135+s055.01136+s055.01137</f>
        <v>1</v>
      </c>
    </row>
    <row r="350" spans="2:3" ht="11.25">
      <c r="B350" s="11" t="s">
        <v>1144</v>
      </c>
      <c r="C350" s="12" t="b">
        <f>s055.01148=s055.01140+s055.01141+s055.01142+s055.01143+s055.01144+s055.01145+s055.01146+s055.01147</f>
        <v>1</v>
      </c>
    </row>
    <row r="351" spans="2:3" ht="11.25">
      <c r="B351" s="11" t="s">
        <v>1145</v>
      </c>
      <c r="C351" s="12" t="b">
        <f>s055.01158=s055.01150+s055.01151+s055.01152+s055.01153+s055.01154+s055.01155+s055.01156+s055.01157</f>
        <v>1</v>
      </c>
    </row>
    <row r="352" spans="2:3" ht="11.25">
      <c r="B352" s="11" t="s">
        <v>574</v>
      </c>
      <c r="C352" s="12" t="b">
        <f>s055.01405=ele_s055_01405</f>
        <v>1</v>
      </c>
    </row>
    <row r="353" spans="2:3" ht="11.25">
      <c r="B353" s="11" t="s">
        <v>575</v>
      </c>
      <c r="C353" s="12" t="b">
        <f>s055.01415=ele_s055_01415</f>
        <v>1</v>
      </c>
    </row>
    <row r="354" spans="2:3" ht="33.75">
      <c r="B354" s="28" t="s">
        <v>1146</v>
      </c>
      <c r="C354" s="12" t="b">
        <f>s055.01520=s055.01500+s055.01501+s055.01502+s055.01503+s055.01504+s055.01505+s055.01506+s055.01507+s055.01508+s055.01509+s055.01510+s055.01511+s055.01512+s055.01513+s055.01514+s055.01515+s055.01516+s055.01517+s055.01518+s055.01519</f>
        <v>1</v>
      </c>
    </row>
    <row r="355" spans="2:3" ht="33.75">
      <c r="B355" s="28" t="s">
        <v>413</v>
      </c>
      <c r="C355" s="12" t="b">
        <f>s055.01541=s055.01521+s055.01522+s055.01523+s055.01524+s055.01525+s055.01526+s055.01527+s055.01528+s055.01529+s055.01530+s055.01531+s055.01532+s055.01533+s055.01534+s055.01535+s055.01536+s055.01537+s055.01538+s055.01539+s055.01540</f>
        <v>1</v>
      </c>
    </row>
    <row r="356" spans="2:3" ht="33.75">
      <c r="B356" s="28" t="s">
        <v>414</v>
      </c>
      <c r="C356" s="12" t="b">
        <f>s055.01562=s055.01542+s055.01543+s055.01544+s055.01545+s055.01546+s055.01547+s055.01548+s055.01549+s055.01550+s055.01551+s055.01552+s055.01553+s055.01554+s055.01555+s055.01556+s055.01557+s055.01558+s055.01559+s055.01560+s055.01561</f>
        <v>1</v>
      </c>
    </row>
    <row r="357" spans="2:3" ht="33.75">
      <c r="B357" s="28" t="s">
        <v>415</v>
      </c>
      <c r="C357" s="12" t="b">
        <f>s055.01583=s055.01563+s055.01564+s055.01565+s055.01566+s055.01567+s055.01568+s055.01569+s055.01570+s055.01571+s055.01572+s055.01573+s055.01574+s055.01575+s055.01576+s055.01577+s055.01578+s055.01579+s055.01580+s055.01581+s055.01582</f>
        <v>1</v>
      </c>
    </row>
    <row r="358" spans="2:3" ht="33.75">
      <c r="B358" s="28" t="s">
        <v>1218</v>
      </c>
      <c r="C358" s="12" t="b">
        <f>s055.01604=s055.01584+s055.01585+s055.01586+s055.01587+s055.01588+s055.01589+s055.01590+s055.01591+s055.01592+s055.01593+s055.01594+s055.01595+s055.01596+s055.01597+s055.01598+s055.01599+s055.01600+s055.01601+s055.01602+s055.01603</f>
        <v>1</v>
      </c>
    </row>
    <row r="359" spans="2:3" ht="33.75">
      <c r="B359" s="28" t="s">
        <v>1219</v>
      </c>
      <c r="C359" s="12" t="b">
        <f>s055.01625=s055.01605+s055.01606+s055.01607+s055.01608+s055.01609+s055.01610+s055.01611+s055.01612+s055.01613+s055.01614+s055.01615+s055.01616+s055.01617+s055.01618+s055.01619+s055.01620+s055.01621+s055.01622+s055.01623+s055.01624</f>
        <v>1</v>
      </c>
    </row>
    <row r="360" spans="2:3" ht="11.25">
      <c r="B360" s="11" t="s">
        <v>1220</v>
      </c>
      <c r="C360" s="12" t="b">
        <f>s055.03050=s055.03000+s055.03010+s055.03020+s055.03030+s055.03040</f>
        <v>1</v>
      </c>
    </row>
    <row r="361" spans="2:3" ht="11.25">
      <c r="B361" s="11" t="s">
        <v>1221</v>
      </c>
      <c r="C361" s="12" t="b">
        <f>s055.03160=s055.03110+s055.03120+s055.03130+s055.03140+s055.03150</f>
        <v>1</v>
      </c>
    </row>
    <row r="362" spans="2:3" ht="11.25">
      <c r="B362" s="11" t="s">
        <v>1222</v>
      </c>
      <c r="C362" s="12" t="b">
        <f>s055.03220=s055.03170+s055.03180+s055.03190+s055.03200+s055.03210</f>
        <v>1</v>
      </c>
    </row>
    <row r="363" spans="2:3" ht="11.25">
      <c r="B363" s="11" t="s">
        <v>1223</v>
      </c>
      <c r="C363" s="12" t="b">
        <f>s055.03300=s055.03250+s055.03260+s055.03270+s055.03280+s055.03290</f>
        <v>1</v>
      </c>
    </row>
  </sheetData>
  <sheetProtection selectLockedCells="1" selectUnlockedCells="1"/>
  <conditionalFormatting sqref="C2:C363">
    <cfRule type="cellIs" priority="1" dxfId="0" operator="equal" stopIfTrue="1">
      <formula>FALSE</formula>
    </cfRule>
  </conditionalFormatting>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A1:U202"/>
  <sheetViews>
    <sheetView zoomScale="90" zoomScaleNormal="90" zoomScaleSheetLayoutView="70" workbookViewId="0" topLeftCell="A1">
      <selection activeCell="F199" sqref="F199"/>
    </sheetView>
  </sheetViews>
  <sheetFormatPr defaultColWidth="11.421875" defaultRowHeight="12.75"/>
  <cols>
    <col min="1" max="1" width="7.28125" style="7" customWidth="1"/>
    <col min="2" max="2" width="7.8515625" style="7" customWidth="1"/>
    <col min="3" max="3" width="8.8515625" style="2" customWidth="1"/>
    <col min="4" max="4" width="49.421875" style="2" customWidth="1"/>
    <col min="5" max="5" width="5.140625" style="8" customWidth="1"/>
    <col min="6" max="6" width="21.140625" style="328" customWidth="1"/>
    <col min="7" max="7" width="5.140625" style="8" customWidth="1"/>
    <col min="8" max="8" width="21.140625" style="328" customWidth="1"/>
    <col min="9" max="9" width="9.140625" style="2" customWidth="1"/>
    <col min="10" max="10" width="6.57421875" style="2" customWidth="1"/>
    <col min="11" max="11" width="15.57421875" style="2" hidden="1" customWidth="1"/>
    <col min="12" max="12" width="63.140625" style="187" hidden="1" customWidth="1"/>
    <col min="13" max="13" width="17.00390625" style="2" hidden="1" customWidth="1"/>
    <col min="14" max="14" width="47.421875" style="2" hidden="1" customWidth="1"/>
    <col min="15" max="16" width="47.421875" style="2" customWidth="1"/>
    <col min="17" max="16384" width="9.140625" style="2" customWidth="1"/>
  </cols>
  <sheetData>
    <row r="1" spans="1:21" ht="40.5" customHeight="1">
      <c r="A1" s="748" t="s">
        <v>897</v>
      </c>
      <c r="B1" s="748"/>
      <c r="C1" s="748"/>
      <c r="D1" s="748"/>
      <c r="E1" s="748"/>
      <c r="F1" s="748"/>
      <c r="G1" s="748"/>
      <c r="H1" s="748"/>
      <c r="I1" s="385"/>
      <c r="J1" s="385"/>
      <c r="K1" s="385"/>
      <c r="L1" s="385"/>
      <c r="M1" s="385"/>
      <c r="N1" s="385"/>
      <c r="O1" s="385"/>
      <c r="P1" s="385"/>
      <c r="Q1" s="385"/>
      <c r="R1" s="385"/>
      <c r="S1" s="385"/>
      <c r="T1" s="385"/>
      <c r="U1" s="385"/>
    </row>
    <row r="2" spans="1:13" ht="11.25">
      <c r="A2" s="230"/>
      <c r="B2" s="231"/>
      <c r="C2" s="232"/>
      <c r="D2" s="231"/>
      <c r="E2" s="233"/>
      <c r="F2" s="329"/>
      <c r="G2" s="233"/>
      <c r="H2" s="335" t="s">
        <v>477</v>
      </c>
      <c r="L2" s="255" t="s">
        <v>985</v>
      </c>
      <c r="M2" s="12" t="b">
        <f>s010.00500=s010.01000</f>
        <v>1</v>
      </c>
    </row>
    <row r="3" spans="1:13" ht="11.25">
      <c r="A3" s="13"/>
      <c r="B3" s="14"/>
      <c r="C3" s="14"/>
      <c r="D3" s="14"/>
      <c r="E3" s="15"/>
      <c r="F3" s="330"/>
      <c r="G3" s="15"/>
      <c r="H3" s="332"/>
      <c r="L3" s="255" t="s">
        <v>986</v>
      </c>
      <c r="M3" s="12" t="b">
        <f>s010.01500=s010.02000</f>
        <v>1</v>
      </c>
    </row>
    <row r="4" spans="1:13" ht="11.25">
      <c r="A4" s="6" t="s">
        <v>1588</v>
      </c>
      <c r="B4" s="212"/>
      <c r="C4" s="213"/>
      <c r="D4" s="725" t="str">
        <f>IF(ISBLANK(s000.00100),"",s000.00100)</f>
        <v>F.T.A. SANTANDER FINANCIACION 3</v>
      </c>
      <c r="E4" s="718"/>
      <c r="F4" s="718"/>
      <c r="G4" s="718"/>
      <c r="H4" s="719"/>
      <c r="L4" s="255" t="s">
        <v>987</v>
      </c>
      <c r="M4" s="12" t="b">
        <f>s010.00940=s010.01940+s040.06040</f>
        <v>1</v>
      </c>
    </row>
    <row r="5" spans="1:13" ht="11.25">
      <c r="A5" s="6" t="s">
        <v>1589</v>
      </c>
      <c r="B5" s="212"/>
      <c r="C5" s="213"/>
      <c r="D5" s="725">
        <f>IF(ISBLANK(s000.00130),"",s000.00130)</f>
      </c>
      <c r="E5" s="718"/>
      <c r="F5" s="718"/>
      <c r="G5" s="718"/>
      <c r="H5" s="719"/>
      <c r="L5" s="255" t="s">
        <v>988</v>
      </c>
      <c r="M5" s="12" t="b">
        <f>s010.00950=s010.01940+s040.06140</f>
        <v>0</v>
      </c>
    </row>
    <row r="6" spans="1:13" ht="11.25">
      <c r="A6" s="6" t="s">
        <v>1590</v>
      </c>
      <c r="B6" s="212"/>
      <c r="C6" s="213"/>
      <c r="D6" s="725" t="str">
        <f>IF(ISBLANK(s000.00150),"",s000.00150)</f>
        <v>Santander de Titulizacion S.G.F.T., S.A</v>
      </c>
      <c r="E6" s="718"/>
      <c r="F6" s="718"/>
      <c r="G6" s="718"/>
      <c r="H6" s="719"/>
      <c r="L6" s="255" t="s">
        <v>989</v>
      </c>
      <c r="M6" s="12" t="b">
        <f>IF(NOT(ISBLANK(s010.00108)),IF(s010.00108&lt;0,TRUE,FALSE),TRUE)</f>
        <v>1</v>
      </c>
    </row>
    <row r="7" spans="1:13" ht="11.25">
      <c r="A7" s="726" t="s">
        <v>2233</v>
      </c>
      <c r="B7" s="727"/>
      <c r="C7" s="724"/>
      <c r="D7" s="725" t="str">
        <f>IF(ISBLANK(s000.00170),"",s000.00170)</f>
        <v>No</v>
      </c>
      <c r="E7" s="718"/>
      <c r="F7" s="718"/>
      <c r="G7" s="718"/>
      <c r="H7" s="719"/>
      <c r="L7" s="255" t="s">
        <v>990</v>
      </c>
      <c r="M7" s="12" t="b">
        <f>IF(NOT(ISBLANK(s010.01108)),IF(s010.01108&lt;0,TRUE,FALSE),TRUE)</f>
        <v>1</v>
      </c>
    </row>
    <row r="8" spans="1:13" ht="11.25">
      <c r="A8" s="726" t="s">
        <v>2232</v>
      </c>
      <c r="B8" s="727"/>
      <c r="C8" s="724"/>
      <c r="D8" s="725" t="str">
        <f>IF(ISBLANK(s000.00180),"",s000.00180)</f>
        <v>Primer Semestre</v>
      </c>
      <c r="E8" s="718"/>
      <c r="F8" s="718"/>
      <c r="G8" s="718"/>
      <c r="H8" s="719"/>
      <c r="L8" s="255" t="s">
        <v>991</v>
      </c>
      <c r="M8" s="12" t="b">
        <f>IF(NOT(ISBLANK(s010.00221)),IF(s010.00221&lt;0,TRUE,FALSE),TRUE)</f>
        <v>1</v>
      </c>
    </row>
    <row r="9" spans="1:13" ht="11.25">
      <c r="A9" s="19"/>
      <c r="B9" s="18"/>
      <c r="C9" s="18"/>
      <c r="D9" s="18"/>
      <c r="E9" s="20"/>
      <c r="F9" s="331"/>
      <c r="G9" s="20"/>
      <c r="H9" s="333"/>
      <c r="I9" s="21"/>
      <c r="L9" s="255" t="s">
        <v>992</v>
      </c>
      <c r="M9" s="12" t="b">
        <f>IF(NOT(ISBLANK(s010.01221)),IF(s010.01221&lt;0,TRUE,FALSE),TRUE)</f>
        <v>1</v>
      </c>
    </row>
    <row r="10" spans="1:13" ht="22.5">
      <c r="A10" s="22" t="s">
        <v>580</v>
      </c>
      <c r="B10" s="23"/>
      <c r="C10" s="23"/>
      <c r="D10" s="23"/>
      <c r="E10" s="24"/>
      <c r="F10" s="448" t="s">
        <v>925</v>
      </c>
      <c r="G10" s="389"/>
      <c r="H10" s="449" t="s">
        <v>1591</v>
      </c>
      <c r="I10" s="25"/>
      <c r="L10" s="255" t="s">
        <v>993</v>
      </c>
      <c r="M10" s="12" t="b">
        <f>s010.00100=s010.00101+s010.00102+s010.00103+s010.00104+s010.00105+s010.00106+s010.00107+s010.00108+s010.00109+s010.00110</f>
        <v>1</v>
      </c>
    </row>
    <row r="11" spans="1:13" ht="11.25">
      <c r="A11" s="461"/>
      <c r="B11" s="458"/>
      <c r="C11" s="458"/>
      <c r="D11" s="458"/>
      <c r="E11" s="375"/>
      <c r="F11" s="541"/>
      <c r="G11" s="375"/>
      <c r="H11" s="543"/>
      <c r="L11" s="255" t="s">
        <v>1784</v>
      </c>
      <c r="M11" s="12" t="b">
        <f>s010.01100=s010.01101+s010.01102+s010.01103+s010.01104+s010.01105+s010.01106+s010.01107+s010.01108+s010.01109+s010.01110</f>
        <v>1</v>
      </c>
    </row>
    <row r="12" spans="1:13" ht="11.25">
      <c r="A12" s="780" t="s">
        <v>486</v>
      </c>
      <c r="B12" s="781"/>
      <c r="C12" s="781"/>
      <c r="D12" s="781"/>
      <c r="E12" s="781"/>
      <c r="F12" s="781"/>
      <c r="G12" s="781"/>
      <c r="H12" s="782"/>
      <c r="L12" s="256" t="s">
        <v>1793</v>
      </c>
      <c r="M12" s="12" t="b">
        <f>s010.00200=s010.00201+s010.00202+s010.00203+s010.00204+s010.00205+s010.00206+s010.00207+s010.00208+s010.00209+s010.00210+s010.00211+s010.00212+s010.00213+s010.00214+s010.00215+s010.00216+s010.00217+s010.00218+s010.00219+s010.00220+s010.00221+s010.00222+s010.00223</f>
        <v>1</v>
      </c>
    </row>
    <row r="13" spans="1:13" ht="11.25">
      <c r="A13" s="461"/>
      <c r="B13" s="458"/>
      <c r="C13" s="458"/>
      <c r="D13" s="458"/>
      <c r="E13" s="375"/>
      <c r="F13" s="541"/>
      <c r="G13" s="375"/>
      <c r="H13" s="543"/>
      <c r="L13" s="256" t="s">
        <v>1794</v>
      </c>
      <c r="M13" s="12" t="b">
        <f>s010.01200=s010.01201+s010.01202+s010.01203+s010.01204+s010.01205+s010.01206+s010.01207+s010.01208+s010.01209+s010.01210+s010.01211+s010.01212+s010.01213+s010.01214+s010.01215+s010.01216+s010.01217+s010.01218+s010.01219+s010.01220+s010.01221+s010.01222+s010.01223</f>
        <v>1</v>
      </c>
    </row>
    <row r="14" spans="1:13" ht="11.25">
      <c r="A14" s="29" t="s">
        <v>480</v>
      </c>
      <c r="B14" s="31"/>
      <c r="C14" s="31"/>
      <c r="D14" s="31"/>
      <c r="E14" s="24" t="s">
        <v>721</v>
      </c>
      <c r="F14" s="336">
        <v>260447000</v>
      </c>
      <c r="G14" s="24" t="s">
        <v>1209</v>
      </c>
      <c r="H14" s="339">
        <v>273515000</v>
      </c>
      <c r="I14" s="25"/>
      <c r="L14" s="255" t="s">
        <v>1795</v>
      </c>
      <c r="M14" s="12" t="b">
        <f>s010.00230=s010.00231+s010.00232</f>
        <v>1</v>
      </c>
    </row>
    <row r="15" spans="1:13" ht="11.25">
      <c r="A15" s="544"/>
      <c r="B15" s="545"/>
      <c r="C15" s="545"/>
      <c r="D15" s="545"/>
      <c r="E15" s="375"/>
      <c r="F15" s="542"/>
      <c r="G15" s="375"/>
      <c r="H15" s="543"/>
      <c r="L15" s="255" t="s">
        <v>1796</v>
      </c>
      <c r="M15" s="12" t="b">
        <f>s010.01230=s010.01231+s010.01232</f>
        <v>1</v>
      </c>
    </row>
    <row r="16" spans="1:13" ht="11.25">
      <c r="A16" s="29"/>
      <c r="B16" s="31" t="s">
        <v>490</v>
      </c>
      <c r="C16" s="31"/>
      <c r="D16" s="31"/>
      <c r="E16" s="24" t="s">
        <v>927</v>
      </c>
      <c r="F16" s="336">
        <v>260447000</v>
      </c>
      <c r="G16" s="24" t="s">
        <v>318</v>
      </c>
      <c r="H16" s="339">
        <v>273515000</v>
      </c>
      <c r="I16" s="25"/>
      <c r="L16" s="255" t="s">
        <v>1797</v>
      </c>
      <c r="M16" s="12" t="b">
        <f>s010.00240=s010.00241+s010.00242</f>
        <v>1</v>
      </c>
    </row>
    <row r="17" spans="1:13" s="7" customFormat="1" ht="11.25">
      <c r="A17" s="260"/>
      <c r="B17" s="261"/>
      <c r="C17" s="261" t="s">
        <v>895</v>
      </c>
      <c r="D17" s="261"/>
      <c r="E17" s="24" t="s">
        <v>931</v>
      </c>
      <c r="F17" s="336"/>
      <c r="G17" s="24" t="s">
        <v>320</v>
      </c>
      <c r="H17" s="339"/>
      <c r="I17" s="25"/>
      <c r="L17" s="255" t="s">
        <v>1798</v>
      </c>
      <c r="M17" s="12" t="b">
        <f>s010.01240=s010.01241+s010.01242</f>
        <v>1</v>
      </c>
    </row>
    <row r="18" spans="1:13" s="7" customFormat="1" ht="11.25">
      <c r="A18" s="222"/>
      <c r="B18" s="223"/>
      <c r="C18" s="223"/>
      <c r="D18" s="223" t="s">
        <v>896</v>
      </c>
      <c r="E18" s="32" t="s">
        <v>1734</v>
      </c>
      <c r="F18" s="337"/>
      <c r="G18" s="32" t="s">
        <v>319</v>
      </c>
      <c r="H18" s="341"/>
      <c r="L18" s="255" t="s">
        <v>1799</v>
      </c>
      <c r="M18" s="12" t="b">
        <f>s010.00010=s010.00100+s010.00200+s010.00230+s010.00240</f>
        <v>1</v>
      </c>
    </row>
    <row r="19" spans="1:13" s="7" customFormat="1" ht="11.25">
      <c r="A19" s="222"/>
      <c r="B19" s="223"/>
      <c r="C19" s="223"/>
      <c r="D19" s="223" t="s">
        <v>2291</v>
      </c>
      <c r="E19" s="32" t="s">
        <v>1735</v>
      </c>
      <c r="F19" s="337"/>
      <c r="G19" s="32" t="s">
        <v>321</v>
      </c>
      <c r="H19" s="341"/>
      <c r="L19" s="255" t="s">
        <v>1800</v>
      </c>
      <c r="M19" s="12" t="b">
        <f>s010.01010=s010.01100+s010.01200+s010.01230+s010.01240</f>
        <v>1</v>
      </c>
    </row>
    <row r="20" spans="1:13" s="7" customFormat="1" ht="11.25">
      <c r="A20" s="222"/>
      <c r="B20" s="223"/>
      <c r="C20" s="223"/>
      <c r="D20" s="223" t="s">
        <v>2292</v>
      </c>
      <c r="E20" s="32" t="s">
        <v>1736</v>
      </c>
      <c r="F20" s="337"/>
      <c r="G20" s="32" t="s">
        <v>322</v>
      </c>
      <c r="H20" s="341"/>
      <c r="L20" s="255" t="s">
        <v>1801</v>
      </c>
      <c r="M20" s="12" t="b">
        <f>s010.00008=s010.00010+s010.00250+s010.00260</f>
        <v>1</v>
      </c>
    </row>
    <row r="21" spans="1:13" s="7" customFormat="1" ht="11.25">
      <c r="A21" s="222"/>
      <c r="B21" s="223"/>
      <c r="C21" s="223"/>
      <c r="D21" s="223" t="s">
        <v>2293</v>
      </c>
      <c r="E21" s="32" t="s">
        <v>1737</v>
      </c>
      <c r="F21" s="337"/>
      <c r="G21" s="32" t="s">
        <v>323</v>
      </c>
      <c r="H21" s="341"/>
      <c r="L21" s="255" t="s">
        <v>1802</v>
      </c>
      <c r="M21" s="12" t="b">
        <f>s010.01008=s010.01010+s010.01250+s010.01260</f>
        <v>1</v>
      </c>
    </row>
    <row r="22" spans="1:13" s="7" customFormat="1" ht="11.25">
      <c r="A22" s="222"/>
      <c r="B22" s="223"/>
      <c r="C22" s="223"/>
      <c r="D22" s="223" t="s">
        <v>2294</v>
      </c>
      <c r="E22" s="32" t="s">
        <v>1738</v>
      </c>
      <c r="F22" s="337"/>
      <c r="G22" s="32" t="s">
        <v>324</v>
      </c>
      <c r="H22" s="341"/>
      <c r="L22" s="255" t="s">
        <v>1317</v>
      </c>
      <c r="M22" s="12" t="b">
        <f>s010.00310=s010.00311+s010.00312+s010.00313+s010.00314+s010.00315+s010.00316+s010.00317+s010.00318+s010.00319+s010.00320</f>
        <v>1</v>
      </c>
    </row>
    <row r="23" spans="1:13" s="7" customFormat="1" ht="11.25">
      <c r="A23" s="222"/>
      <c r="B23" s="223"/>
      <c r="C23" s="223"/>
      <c r="D23" s="223" t="s">
        <v>2295</v>
      </c>
      <c r="E23" s="32" t="s">
        <v>1739</v>
      </c>
      <c r="F23" s="337"/>
      <c r="G23" s="32" t="s">
        <v>325</v>
      </c>
      <c r="H23" s="341"/>
      <c r="L23" s="255" t="s">
        <v>589</v>
      </c>
      <c r="M23" s="12" t="b">
        <f>s010.01310=s010.01311+s010.01312+s010.01313+s010.01314+s010.01315+s010.01316+s010.01317+s010.01318+s010.01319+s010.01320</f>
        <v>1</v>
      </c>
    </row>
    <row r="24" spans="1:13" s="7" customFormat="1" ht="11.25">
      <c r="A24" s="222"/>
      <c r="B24" s="223"/>
      <c r="C24" s="223"/>
      <c r="D24" s="223" t="s">
        <v>2296</v>
      </c>
      <c r="E24" s="32" t="s">
        <v>1740</v>
      </c>
      <c r="F24" s="337"/>
      <c r="G24" s="32" t="s">
        <v>326</v>
      </c>
      <c r="H24" s="341"/>
      <c r="L24" s="256" t="s">
        <v>590</v>
      </c>
      <c r="M24" s="12" t="b">
        <f>s010.00400=s010.00401+s010.00402+s010.00403+s010.00404+s010.00405+s010.00406+s010.00407+s010.00408+s010.00409+s010.00410+s010.00411+s010.00412+s010.00413+s010.00414+s010.00415+s010.00416+s010.00417+s010.00418+s010.00419+s010.00420+s010.00421+s010.00422+s010.00423</f>
        <v>1</v>
      </c>
    </row>
    <row r="25" spans="1:13" s="7" customFormat="1" ht="11.25">
      <c r="A25" s="222"/>
      <c r="B25" s="223"/>
      <c r="C25" s="223"/>
      <c r="D25" s="223" t="s">
        <v>2297</v>
      </c>
      <c r="E25" s="32" t="s">
        <v>1741</v>
      </c>
      <c r="F25" s="337"/>
      <c r="G25" s="32" t="s">
        <v>327</v>
      </c>
      <c r="H25" s="341"/>
      <c r="I25" s="33"/>
      <c r="L25" s="256" t="s">
        <v>591</v>
      </c>
      <c r="M25" s="12" t="b">
        <f>s010.01400=s010.01401+s010.01402+s010.01403+s010.01404+s010.01405+s010.01406+s010.01407+s010.01408+s010.01409+s010.01410+s010.01411+s010.01412+s010.01413+s010.01414+s010.01415+s010.01416+s010.01417+s010.01418+s010.01419+s010.01420+s010.01421+s010.01422+s010.01423</f>
        <v>1</v>
      </c>
    </row>
    <row r="26" spans="1:13" s="7" customFormat="1" ht="11.25">
      <c r="A26" s="222"/>
      <c r="B26" s="223"/>
      <c r="C26" s="223"/>
      <c r="D26" s="223" t="s">
        <v>625</v>
      </c>
      <c r="E26" s="32" t="s">
        <v>624</v>
      </c>
      <c r="F26" s="337"/>
      <c r="G26" s="32" t="s">
        <v>626</v>
      </c>
      <c r="H26" s="341"/>
      <c r="L26" s="255" t="s">
        <v>592</v>
      </c>
      <c r="M26" s="12" t="b">
        <f>s010.00430=s010.00431+s010.00432</f>
        <v>1</v>
      </c>
    </row>
    <row r="27" spans="1:13" s="7" customFormat="1" ht="11.25">
      <c r="A27" s="222"/>
      <c r="B27" s="223"/>
      <c r="C27" s="223"/>
      <c r="D27" s="223" t="s">
        <v>628</v>
      </c>
      <c r="E27" s="32" t="s">
        <v>1603</v>
      </c>
      <c r="F27" s="337"/>
      <c r="G27" s="32" t="s">
        <v>627</v>
      </c>
      <c r="H27" s="341"/>
      <c r="I27" s="33"/>
      <c r="L27" s="255" t="s">
        <v>593</v>
      </c>
      <c r="M27" s="12" t="b">
        <f>s010.01430=s010.01431+s010.01432</f>
        <v>1</v>
      </c>
    </row>
    <row r="28" spans="1:13" s="7" customFormat="1" ht="11.25">
      <c r="A28" s="260"/>
      <c r="B28" s="261"/>
      <c r="C28" s="261" t="s">
        <v>2298</v>
      </c>
      <c r="D28" s="261"/>
      <c r="E28" s="24" t="s">
        <v>932</v>
      </c>
      <c r="F28" s="336">
        <v>260447000</v>
      </c>
      <c r="G28" s="24" t="s">
        <v>328</v>
      </c>
      <c r="H28" s="339">
        <v>273515000</v>
      </c>
      <c r="I28" s="25"/>
      <c r="L28" s="255" t="s">
        <v>594</v>
      </c>
      <c r="M28" s="12" t="b">
        <f>s010.00440=s010.00441+s010.00442</f>
        <v>1</v>
      </c>
    </row>
    <row r="29" spans="1:13" s="7" customFormat="1" ht="11.25">
      <c r="A29" s="222"/>
      <c r="B29" s="223"/>
      <c r="C29" s="223"/>
      <c r="D29" s="223" t="s">
        <v>2319</v>
      </c>
      <c r="E29" s="32" t="s">
        <v>1742</v>
      </c>
      <c r="F29" s="337"/>
      <c r="G29" s="32" t="s">
        <v>329</v>
      </c>
      <c r="H29" s="343"/>
      <c r="L29" s="255" t="s">
        <v>595</v>
      </c>
      <c r="M29" s="12" t="b">
        <f>s010.01440=s010.01441+s010.01442</f>
        <v>1</v>
      </c>
    </row>
    <row r="30" spans="1:13" s="7" customFormat="1" ht="11.25">
      <c r="A30" s="222"/>
      <c r="B30" s="223"/>
      <c r="C30" s="223"/>
      <c r="D30" s="223" t="s">
        <v>2299</v>
      </c>
      <c r="E30" s="32" t="s">
        <v>1743</v>
      </c>
      <c r="F30" s="337"/>
      <c r="G30" s="32" t="s">
        <v>330</v>
      </c>
      <c r="H30" s="343"/>
      <c r="L30" s="255" t="s">
        <v>596</v>
      </c>
      <c r="M30" s="12" t="b">
        <f>s010.00290=s010.00300+s010.00310+s010.00400+s010.00430+s010.00440</f>
        <v>1</v>
      </c>
    </row>
    <row r="31" spans="1:13" s="7" customFormat="1" ht="11.25">
      <c r="A31" s="222"/>
      <c r="B31" s="223"/>
      <c r="C31" s="223"/>
      <c r="D31" s="223" t="s">
        <v>2379</v>
      </c>
      <c r="E31" s="32" t="s">
        <v>1744</v>
      </c>
      <c r="F31" s="337"/>
      <c r="G31" s="32" t="s">
        <v>331</v>
      </c>
      <c r="H31" s="343"/>
      <c r="L31" s="255" t="s">
        <v>597</v>
      </c>
      <c r="M31" s="12" t="b">
        <f>s010.01290=s010.01300+s010.01310+s010.01400+s010.01430+s010.01440</f>
        <v>1</v>
      </c>
    </row>
    <row r="32" spans="1:13" s="7" customFormat="1" ht="11.25">
      <c r="A32" s="222"/>
      <c r="B32" s="223"/>
      <c r="C32" s="223"/>
      <c r="D32" s="223" t="s">
        <v>2272</v>
      </c>
      <c r="E32" s="32" t="s">
        <v>1745</v>
      </c>
      <c r="F32" s="337"/>
      <c r="G32" s="32" t="s">
        <v>332</v>
      </c>
      <c r="H32" s="343"/>
      <c r="L32" s="255" t="s">
        <v>598</v>
      </c>
      <c r="M32" s="12" t="b">
        <f>s010.00450=s010.00451+s010.00452</f>
        <v>1</v>
      </c>
    </row>
    <row r="33" spans="1:13" s="7" customFormat="1" ht="11.25">
      <c r="A33" s="222"/>
      <c r="B33" s="223"/>
      <c r="C33" s="223"/>
      <c r="D33" s="223" t="s">
        <v>2278</v>
      </c>
      <c r="E33" s="32" t="s">
        <v>1746</v>
      </c>
      <c r="F33" s="337"/>
      <c r="G33" s="32" t="s">
        <v>333</v>
      </c>
      <c r="H33" s="343"/>
      <c r="L33" s="255" t="s">
        <v>599</v>
      </c>
      <c r="M33" s="12" t="b">
        <f>s010.01450=s010.01451+s010.01452</f>
        <v>1</v>
      </c>
    </row>
    <row r="34" spans="1:13" s="7" customFormat="1" ht="11.25">
      <c r="A34" s="222"/>
      <c r="B34" s="223"/>
      <c r="C34" s="223"/>
      <c r="D34" s="223" t="s">
        <v>131</v>
      </c>
      <c r="E34" s="32" t="s">
        <v>1747</v>
      </c>
      <c r="F34" s="337"/>
      <c r="G34" s="32" t="s">
        <v>334</v>
      </c>
      <c r="H34" s="343"/>
      <c r="L34" s="255" t="s">
        <v>600</v>
      </c>
      <c r="M34" s="12" t="b">
        <f>s010.00460=s010.00461+s010.00462</f>
        <v>1</v>
      </c>
    </row>
    <row r="35" spans="1:13" s="7" customFormat="1" ht="11.25">
      <c r="A35" s="222"/>
      <c r="B35" s="223"/>
      <c r="C35" s="223"/>
      <c r="D35" s="223" t="s">
        <v>2279</v>
      </c>
      <c r="E35" s="32" t="s">
        <v>1748</v>
      </c>
      <c r="F35" s="337"/>
      <c r="G35" s="32" t="s">
        <v>335</v>
      </c>
      <c r="H35" s="343"/>
      <c r="L35" s="255" t="s">
        <v>601</v>
      </c>
      <c r="M35" s="12" t="b">
        <f>s010.01460=s010.01461+s010.01462</f>
        <v>1</v>
      </c>
    </row>
    <row r="36" spans="1:13" s="7" customFormat="1" ht="11.25">
      <c r="A36" s="222"/>
      <c r="B36" s="223"/>
      <c r="C36" s="223"/>
      <c r="D36" s="223" t="s">
        <v>132</v>
      </c>
      <c r="E36" s="32" t="s">
        <v>1115</v>
      </c>
      <c r="F36" s="337"/>
      <c r="G36" s="32" t="s">
        <v>336</v>
      </c>
      <c r="H36" s="343"/>
      <c r="L36" s="255" t="s">
        <v>602</v>
      </c>
      <c r="M36" s="12" t="b">
        <f>s010.00270=s010.00280+s010.00290+s010.00450+s010.00460</f>
        <v>1</v>
      </c>
    </row>
    <row r="37" spans="1:13" s="7" customFormat="1" ht="11.25">
      <c r="A37" s="222"/>
      <c r="B37" s="223"/>
      <c r="C37" s="223"/>
      <c r="D37" s="223" t="s">
        <v>2280</v>
      </c>
      <c r="E37" s="32" t="s">
        <v>1116</v>
      </c>
      <c r="F37" s="337"/>
      <c r="G37" s="32" t="s">
        <v>337</v>
      </c>
      <c r="H37" s="343"/>
      <c r="L37" s="255" t="s">
        <v>603</v>
      </c>
      <c r="M37" s="12" t="b">
        <f>s010.01270=s010.01280+s010.01290+s010.01450+s010.01460</f>
        <v>1</v>
      </c>
    </row>
    <row r="38" spans="1:13" s="7" customFormat="1" ht="11.25">
      <c r="A38" s="222"/>
      <c r="B38" s="223"/>
      <c r="C38" s="223"/>
      <c r="D38" s="223" t="s">
        <v>2281</v>
      </c>
      <c r="E38" s="32" t="s">
        <v>1117</v>
      </c>
      <c r="F38" s="337"/>
      <c r="G38" s="32" t="s">
        <v>338</v>
      </c>
      <c r="H38" s="343"/>
      <c r="L38" s="255" t="s">
        <v>604</v>
      </c>
      <c r="M38" s="12" t="b">
        <f>s010.00500=s010.00008+s010.00270</f>
        <v>1</v>
      </c>
    </row>
    <row r="39" spans="1:13" s="7" customFormat="1" ht="11.25">
      <c r="A39" s="222"/>
      <c r="B39" s="223"/>
      <c r="C39" s="223"/>
      <c r="D39" s="223" t="s">
        <v>2282</v>
      </c>
      <c r="E39" s="32" t="s">
        <v>1118</v>
      </c>
      <c r="F39" s="337"/>
      <c r="G39" s="32" t="s">
        <v>339</v>
      </c>
      <c r="H39" s="343"/>
      <c r="L39" s="255" t="s">
        <v>605</v>
      </c>
      <c r="M39" s="12" t="b">
        <f>s010.01500=s010.01008+s010.01270</f>
        <v>1</v>
      </c>
    </row>
    <row r="40" spans="1:13" s="7" customFormat="1" ht="11.25">
      <c r="A40" s="99"/>
      <c r="B40" s="77"/>
      <c r="C40" s="77"/>
      <c r="D40" s="77" t="s">
        <v>2283</v>
      </c>
      <c r="E40" s="32" t="s">
        <v>1119</v>
      </c>
      <c r="F40" s="337"/>
      <c r="G40" s="32" t="s">
        <v>340</v>
      </c>
      <c r="H40" s="343"/>
      <c r="L40" s="255" t="s">
        <v>606</v>
      </c>
      <c r="M40" s="12" t="b">
        <f>s010.00710=s010.00711+s010.00712+s010.00713+s010.00714+s010.00715</f>
        <v>1</v>
      </c>
    </row>
    <row r="41" spans="1:13" s="7" customFormat="1" ht="11.25">
      <c r="A41" s="99"/>
      <c r="B41" s="77"/>
      <c r="C41" s="77"/>
      <c r="D41" s="77" t="s">
        <v>2284</v>
      </c>
      <c r="E41" s="32" t="s">
        <v>1120</v>
      </c>
      <c r="F41" s="337">
        <v>239479000</v>
      </c>
      <c r="G41" s="32" t="s">
        <v>341</v>
      </c>
      <c r="H41" s="343">
        <v>213916000</v>
      </c>
      <c r="L41" s="255" t="s">
        <v>1912</v>
      </c>
      <c r="M41" s="12" t="b">
        <f>s010.01710=s010.01711+s010.01712+s010.01713+s010.01714+s010.01715</f>
        <v>1</v>
      </c>
    </row>
    <row r="42" spans="1:13" s="7" customFormat="1" ht="11.25">
      <c r="A42" s="99"/>
      <c r="B42" s="77"/>
      <c r="C42" s="77"/>
      <c r="D42" s="77" t="s">
        <v>2285</v>
      </c>
      <c r="E42" s="32" t="s">
        <v>1121</v>
      </c>
      <c r="F42" s="337"/>
      <c r="G42" s="32" t="s">
        <v>342</v>
      </c>
      <c r="H42" s="343"/>
      <c r="L42" s="255" t="s">
        <v>1913</v>
      </c>
      <c r="M42" s="12" t="b">
        <f>s010.00720=s010.00721+s010.00722+s010.00723+s010.00724+s010.00725+s010.00726</f>
        <v>1</v>
      </c>
    </row>
    <row r="43" spans="1:13" s="7" customFormat="1" ht="11.25">
      <c r="A43" s="99"/>
      <c r="B43" s="77"/>
      <c r="C43" s="77"/>
      <c r="D43" s="77" t="s">
        <v>2286</v>
      </c>
      <c r="E43" s="32" t="s">
        <v>1122</v>
      </c>
      <c r="F43" s="337"/>
      <c r="G43" s="32" t="s">
        <v>343</v>
      </c>
      <c r="H43" s="343"/>
      <c r="L43" s="255" t="s">
        <v>1914</v>
      </c>
      <c r="M43" s="12" t="b">
        <f>s010.01720=s010.01721+s010.01722+s010.01723+s010.01724+s010.01725+s010.01726</f>
        <v>1</v>
      </c>
    </row>
    <row r="44" spans="1:13" s="7" customFormat="1" ht="11.25">
      <c r="A44" s="99"/>
      <c r="B44" s="77"/>
      <c r="C44" s="77"/>
      <c r="D44" s="77" t="s">
        <v>2287</v>
      </c>
      <c r="E44" s="32" t="s">
        <v>1123</v>
      </c>
      <c r="F44" s="337"/>
      <c r="G44" s="32" t="s">
        <v>344</v>
      </c>
      <c r="H44" s="343"/>
      <c r="L44" s="255" t="s">
        <v>1915</v>
      </c>
      <c r="M44" s="12" t="b">
        <f>s010.00730=s010.00731+s010.00732</f>
        <v>1</v>
      </c>
    </row>
    <row r="45" spans="1:13" s="7" customFormat="1" ht="11.25">
      <c r="A45" s="99"/>
      <c r="B45" s="77"/>
      <c r="C45" s="77"/>
      <c r="D45" s="77" t="s">
        <v>2288</v>
      </c>
      <c r="E45" s="32" t="s">
        <v>1124</v>
      </c>
      <c r="F45" s="337"/>
      <c r="G45" s="32" t="s">
        <v>345</v>
      </c>
      <c r="H45" s="343"/>
      <c r="L45" s="255" t="s">
        <v>1390</v>
      </c>
      <c r="M45" s="12" t="b">
        <f>s010.01730=s010.01731+s010.01732</f>
        <v>1</v>
      </c>
    </row>
    <row r="46" spans="1:13" s="7" customFormat="1" ht="11.25">
      <c r="A46" s="99"/>
      <c r="B46" s="77"/>
      <c r="C46" s="77"/>
      <c r="D46" s="77" t="s">
        <v>2289</v>
      </c>
      <c r="E46" s="32" t="s">
        <v>1125</v>
      </c>
      <c r="F46" s="337"/>
      <c r="G46" s="32" t="s">
        <v>346</v>
      </c>
      <c r="H46" s="343"/>
      <c r="L46" s="255" t="s">
        <v>1393</v>
      </c>
      <c r="M46" s="12" t="b">
        <f>s010.00740=s010.00741+s010.00742</f>
        <v>1</v>
      </c>
    </row>
    <row r="47" spans="1:13" s="7" customFormat="1" ht="11.25">
      <c r="A47" s="99"/>
      <c r="B47" s="77"/>
      <c r="C47" s="77"/>
      <c r="D47" s="77" t="s">
        <v>2290</v>
      </c>
      <c r="E47" s="32" t="s">
        <v>1126</v>
      </c>
      <c r="F47" s="337"/>
      <c r="G47" s="32" t="s">
        <v>347</v>
      </c>
      <c r="H47" s="343"/>
      <c r="L47" s="255" t="s">
        <v>1394</v>
      </c>
      <c r="M47" s="12" t="b">
        <f>s010.01740=s010.01741+s010.01742</f>
        <v>1</v>
      </c>
    </row>
    <row r="48" spans="1:13" s="7" customFormat="1" ht="11.25">
      <c r="A48" s="99"/>
      <c r="B48" s="77"/>
      <c r="C48" s="77"/>
      <c r="D48" s="223" t="s">
        <v>944</v>
      </c>
      <c r="E48" s="32" t="s">
        <v>1127</v>
      </c>
      <c r="F48" s="337">
        <v>62114000</v>
      </c>
      <c r="G48" s="32" t="s">
        <v>348</v>
      </c>
      <c r="H48" s="343">
        <v>95280000</v>
      </c>
      <c r="L48" s="255" t="s">
        <v>1395</v>
      </c>
      <c r="M48" s="12" t="b">
        <f>s010.00700=s010.00710+s010.00720+s010.00730+s010.00740</f>
        <v>1</v>
      </c>
    </row>
    <row r="49" spans="1:13" s="7" customFormat="1" ht="11.25">
      <c r="A49" s="99"/>
      <c r="B49" s="77"/>
      <c r="C49" s="77"/>
      <c r="D49" s="77" t="s">
        <v>945</v>
      </c>
      <c r="E49" s="32" t="s">
        <v>629</v>
      </c>
      <c r="F49" s="337">
        <v>-41146000</v>
      </c>
      <c r="G49" s="32" t="s">
        <v>631</v>
      </c>
      <c r="H49" s="341">
        <v>-35681000</v>
      </c>
      <c r="I49" s="33"/>
      <c r="L49" s="255" t="s">
        <v>1396</v>
      </c>
      <c r="M49" s="12" t="b">
        <f>s010.01700=s010.01710+s010.01720+s010.01730+s010.01740</f>
        <v>1</v>
      </c>
    </row>
    <row r="50" spans="1:13" s="7" customFormat="1" ht="11.25">
      <c r="A50" s="99"/>
      <c r="B50" s="77"/>
      <c r="C50" s="77"/>
      <c r="D50" s="77" t="s">
        <v>946</v>
      </c>
      <c r="E50" s="32" t="s">
        <v>630</v>
      </c>
      <c r="F50" s="337"/>
      <c r="G50" s="32" t="s">
        <v>632</v>
      </c>
      <c r="H50" s="341"/>
      <c r="L50" s="255" t="s">
        <v>1397</v>
      </c>
      <c r="M50" s="12" t="b">
        <f>s010.00650=s010.00660+s010.00700+s010.00750</f>
        <v>1</v>
      </c>
    </row>
    <row r="51" spans="1:13" s="7" customFormat="1" ht="11.25">
      <c r="A51" s="99"/>
      <c r="B51" s="77"/>
      <c r="C51" s="77"/>
      <c r="D51" s="77" t="s">
        <v>947</v>
      </c>
      <c r="E51" s="32" t="s">
        <v>948</v>
      </c>
      <c r="F51" s="337"/>
      <c r="G51" s="32" t="s">
        <v>2081</v>
      </c>
      <c r="H51" s="341"/>
      <c r="I51" s="33"/>
      <c r="L51" s="255" t="s">
        <v>1398</v>
      </c>
      <c r="M51" s="12" t="b">
        <f>s010.01650=s010.01660+s010.01700+s010.01750</f>
        <v>1</v>
      </c>
    </row>
    <row r="52" spans="1:13" s="7" customFormat="1" ht="11.25">
      <c r="A52" s="260"/>
      <c r="B52" s="261"/>
      <c r="C52" s="261" t="s">
        <v>476</v>
      </c>
      <c r="D52" s="261"/>
      <c r="E52" s="24" t="s">
        <v>933</v>
      </c>
      <c r="F52" s="336"/>
      <c r="G52" s="24" t="s">
        <v>349</v>
      </c>
      <c r="H52" s="339"/>
      <c r="I52" s="25"/>
      <c r="L52" s="255" t="s">
        <v>1399</v>
      </c>
      <c r="M52" s="12" t="b">
        <f>s010.00820=s010.00821+s010.00822+s010.00823+s010.00824+s010.00825</f>
        <v>1</v>
      </c>
    </row>
    <row r="53" spans="1:13" ht="11.25">
      <c r="A53" s="222"/>
      <c r="B53" s="223"/>
      <c r="C53" s="223"/>
      <c r="D53" s="223" t="s">
        <v>493</v>
      </c>
      <c r="E53" s="32" t="s">
        <v>1731</v>
      </c>
      <c r="F53" s="337"/>
      <c r="G53" s="32" t="s">
        <v>350</v>
      </c>
      <c r="H53" s="341"/>
      <c r="L53" s="255" t="s">
        <v>1400</v>
      </c>
      <c r="M53" s="12" t="b">
        <f>s010.01820=s010.01821+s010.01822+s010.01823+s010.01824+s010.01825</f>
        <v>1</v>
      </c>
    </row>
    <row r="54" spans="1:13" ht="11.25">
      <c r="A54" s="222"/>
      <c r="B54" s="223"/>
      <c r="C54" s="223"/>
      <c r="D54" s="223" t="s">
        <v>1711</v>
      </c>
      <c r="E54" s="32" t="s">
        <v>1732</v>
      </c>
      <c r="F54" s="337"/>
      <c r="G54" s="32" t="s">
        <v>351</v>
      </c>
      <c r="H54" s="341"/>
      <c r="L54" s="255" t="s">
        <v>699</v>
      </c>
      <c r="M54" s="12" t="b">
        <f>s010.00830=s010.00831+s010.00832+s010.00833+s010.00834+s010.00835+s010.00836</f>
        <v>1</v>
      </c>
    </row>
    <row r="55" spans="1:13" s="7" customFormat="1" ht="11.25">
      <c r="A55" s="260"/>
      <c r="B55" s="261"/>
      <c r="C55" s="261" t="s">
        <v>2300</v>
      </c>
      <c r="D55" s="261"/>
      <c r="E55" s="24" t="s">
        <v>1733</v>
      </c>
      <c r="F55" s="336"/>
      <c r="G55" s="24" t="s">
        <v>352</v>
      </c>
      <c r="H55" s="339"/>
      <c r="I55" s="25"/>
      <c r="L55" s="255" t="s">
        <v>700</v>
      </c>
      <c r="M55" s="12" t="b">
        <f>s010.01830=s010.01831+s010.01832+s010.01833+s010.01834+s010.01835+s010.01836</f>
        <v>1</v>
      </c>
    </row>
    <row r="56" spans="1:13" ht="11.25">
      <c r="A56" s="222"/>
      <c r="B56" s="223"/>
      <c r="C56" s="223"/>
      <c r="D56" s="223" t="s">
        <v>2301</v>
      </c>
      <c r="E56" s="32" t="s">
        <v>240</v>
      </c>
      <c r="F56" s="337"/>
      <c r="G56" s="32" t="s">
        <v>353</v>
      </c>
      <c r="H56" s="343"/>
      <c r="L56" s="255" t="s">
        <v>701</v>
      </c>
      <c r="M56" s="12" t="b">
        <f>s010.00840=s010.00841+s010.00842</f>
        <v>1</v>
      </c>
    </row>
    <row r="57" spans="1:13" ht="11.25">
      <c r="A57" s="224"/>
      <c r="B57" s="225"/>
      <c r="C57" s="225"/>
      <c r="D57" s="225" t="s">
        <v>2302</v>
      </c>
      <c r="E57" s="35" t="s">
        <v>241</v>
      </c>
      <c r="F57" s="338"/>
      <c r="G57" s="35" t="s">
        <v>354</v>
      </c>
      <c r="H57" s="344"/>
      <c r="L57" s="255" t="s">
        <v>702</v>
      </c>
      <c r="M57" s="12" t="b">
        <f>s010.01840=s010.01841+s010.01842</f>
        <v>1</v>
      </c>
    </row>
    <row r="58" spans="1:13" s="17" customFormat="1" ht="11.25">
      <c r="A58" s="546"/>
      <c r="B58" s="377"/>
      <c r="C58" s="377"/>
      <c r="D58" s="377"/>
      <c r="E58" s="375"/>
      <c r="F58" s="542"/>
      <c r="G58" s="375"/>
      <c r="H58" s="543"/>
      <c r="L58" s="255" t="s">
        <v>703</v>
      </c>
      <c r="M58" s="12" t="b">
        <f>s010.00850=s010.00851+s010.00852</f>
        <v>1</v>
      </c>
    </row>
    <row r="59" spans="1:13" ht="11.25">
      <c r="A59" s="260"/>
      <c r="B59" s="31" t="s">
        <v>465</v>
      </c>
      <c r="C59" s="31"/>
      <c r="D59" s="31"/>
      <c r="E59" s="24" t="s">
        <v>242</v>
      </c>
      <c r="F59" s="336"/>
      <c r="G59" s="24" t="s">
        <v>355</v>
      </c>
      <c r="H59" s="340"/>
      <c r="L59" s="255" t="s">
        <v>704</v>
      </c>
      <c r="M59" s="12" t="b">
        <f>s010.01850=s010.01851+s010.01852</f>
        <v>1</v>
      </c>
    </row>
    <row r="60" spans="1:13" s="17" customFormat="1" ht="11.25">
      <c r="A60" s="546"/>
      <c r="B60" s="377"/>
      <c r="C60" s="377"/>
      <c r="D60" s="377"/>
      <c r="E60" s="375"/>
      <c r="F60" s="542"/>
      <c r="G60" s="375"/>
      <c r="H60" s="543"/>
      <c r="L60" s="255" t="s">
        <v>705</v>
      </c>
      <c r="M60" s="12" t="b">
        <f>s010.00800=s010.00810+s010.00820+s010.00830+s010.00840+s010.00850</f>
        <v>1</v>
      </c>
    </row>
    <row r="61" spans="1:13" ht="11.25">
      <c r="A61" s="260"/>
      <c r="B61" s="31" t="s">
        <v>483</v>
      </c>
      <c r="C61" s="31"/>
      <c r="D61" s="31"/>
      <c r="E61" s="24" t="s">
        <v>243</v>
      </c>
      <c r="F61" s="336"/>
      <c r="G61" s="24" t="s">
        <v>356</v>
      </c>
      <c r="H61" s="340"/>
      <c r="L61" s="255" t="s">
        <v>706</v>
      </c>
      <c r="M61" s="12" t="b">
        <f>s010.01800=s010.01810+s010.01820+s010.01830+s010.01840+s010.01850</f>
        <v>1</v>
      </c>
    </row>
    <row r="62" spans="1:13" ht="11.25">
      <c r="A62" s="29" t="s">
        <v>482</v>
      </c>
      <c r="B62" s="31"/>
      <c r="C62" s="31"/>
      <c r="D62" s="31"/>
      <c r="E62" s="24" t="s">
        <v>245</v>
      </c>
      <c r="F62" s="336">
        <v>161871000</v>
      </c>
      <c r="G62" s="24" t="s">
        <v>357</v>
      </c>
      <c r="H62" s="339">
        <v>256975000</v>
      </c>
      <c r="I62" s="25"/>
      <c r="L62" s="255" t="s">
        <v>707</v>
      </c>
      <c r="M62" s="12" t="b">
        <f>s010.00910=s010.00911+s010.00912+s010.00913+s010.00914+s010.00915+s010.00916+s010.00917+s010.00918</f>
        <v>1</v>
      </c>
    </row>
    <row r="63" spans="1:13" ht="11.25">
      <c r="A63" s="466"/>
      <c r="B63" s="467"/>
      <c r="C63" s="467"/>
      <c r="D63" s="467"/>
      <c r="E63" s="375"/>
      <c r="F63" s="542"/>
      <c r="G63" s="375"/>
      <c r="H63" s="543"/>
      <c r="L63" s="255" t="s">
        <v>708</v>
      </c>
      <c r="M63" s="12" t="b">
        <f>s010.01910=s010.01911+s010.01912+s010.01913+s010.01914+s010.01915+s010.01916+s010.01917+s010.01918</f>
        <v>1</v>
      </c>
    </row>
    <row r="64" spans="1:13" ht="11.25">
      <c r="A64" s="260"/>
      <c r="B64" s="31" t="s">
        <v>484</v>
      </c>
      <c r="C64" s="261"/>
      <c r="D64" s="261"/>
      <c r="E64" s="24" t="s">
        <v>246</v>
      </c>
      <c r="F64" s="336">
        <v>5000</v>
      </c>
      <c r="G64" s="24" t="s">
        <v>358</v>
      </c>
      <c r="H64" s="340">
        <v>30000</v>
      </c>
      <c r="L64" s="255" t="s">
        <v>709</v>
      </c>
      <c r="M64" s="12" t="b">
        <f>s010.00760=s010.00770+s010.00780+s010.00800+s010.00900</f>
        <v>1</v>
      </c>
    </row>
    <row r="65" spans="1:13" ht="11.25">
      <c r="A65" s="544"/>
      <c r="B65" s="467"/>
      <c r="C65" s="545"/>
      <c r="D65" s="545"/>
      <c r="E65" s="375"/>
      <c r="F65" s="542"/>
      <c r="G65" s="375"/>
      <c r="H65" s="543"/>
      <c r="L65" s="255" t="s">
        <v>710</v>
      </c>
      <c r="M65" s="12" t="b">
        <f>s010.01760=s010.01770+s010.01780+s010.01800+s010.01900</f>
        <v>1</v>
      </c>
    </row>
    <row r="66" spans="1:13" ht="11.25">
      <c r="A66" s="29"/>
      <c r="B66" s="31" t="s">
        <v>79</v>
      </c>
      <c r="C66" s="31"/>
      <c r="D66" s="31"/>
      <c r="E66" s="24" t="s">
        <v>247</v>
      </c>
      <c r="F66" s="336">
        <v>138348000</v>
      </c>
      <c r="G66" s="24" t="s">
        <v>359</v>
      </c>
      <c r="H66" s="339">
        <v>224096000</v>
      </c>
      <c r="I66" s="25"/>
      <c r="L66" s="255" t="s">
        <v>2140</v>
      </c>
      <c r="M66" s="12" t="b">
        <f>s010.00930=s010.00940+s010.00950+s010.00960+s010.00970</f>
        <v>1</v>
      </c>
    </row>
    <row r="67" spans="1:13" ht="11.25">
      <c r="A67" s="29"/>
      <c r="B67" s="31"/>
      <c r="C67" s="261" t="s">
        <v>1569</v>
      </c>
      <c r="D67" s="31"/>
      <c r="E67" s="24" t="s">
        <v>1128</v>
      </c>
      <c r="F67" s="336"/>
      <c r="G67" s="24" t="s">
        <v>360</v>
      </c>
      <c r="H67" s="340"/>
      <c r="L67" s="255" t="s">
        <v>2141</v>
      </c>
      <c r="M67" s="12" t="b">
        <f>s010.01930=s010.01940+s010.01950+s010.01960+s010.01970</f>
        <v>1</v>
      </c>
    </row>
    <row r="68" spans="1:13" s="7" customFormat="1" ht="11.25">
      <c r="A68" s="260"/>
      <c r="B68" s="261"/>
      <c r="C68" s="261" t="s">
        <v>1554</v>
      </c>
      <c r="D68" s="261"/>
      <c r="E68" s="24" t="s">
        <v>1570</v>
      </c>
      <c r="F68" s="336"/>
      <c r="G68" s="24" t="s">
        <v>1579</v>
      </c>
      <c r="H68" s="339"/>
      <c r="I68" s="25"/>
      <c r="L68" s="255" t="s">
        <v>2142</v>
      </c>
      <c r="M68" s="12" t="b">
        <f>s010.01000=s010.00650+s010.00760+s010.00930</f>
        <v>1</v>
      </c>
    </row>
    <row r="69" spans="1:13" s="7" customFormat="1" ht="11.25">
      <c r="A69" s="222"/>
      <c r="B69" s="223"/>
      <c r="C69" s="223"/>
      <c r="D69" s="223" t="s">
        <v>1555</v>
      </c>
      <c r="E69" s="32" t="s">
        <v>1571</v>
      </c>
      <c r="F69" s="337"/>
      <c r="G69" s="32" t="s">
        <v>1580</v>
      </c>
      <c r="H69" s="343"/>
      <c r="L69" s="255" t="s">
        <v>2143</v>
      </c>
      <c r="M69" s="12" t="b">
        <f>s010.02000=s010.01650+s010.01760+s010.01930</f>
        <v>1</v>
      </c>
    </row>
    <row r="70" spans="1:12" s="7" customFormat="1" ht="11.25">
      <c r="A70" s="222"/>
      <c r="B70" s="223"/>
      <c r="C70" s="223"/>
      <c r="D70" s="223" t="s">
        <v>1556</v>
      </c>
      <c r="E70" s="32" t="s">
        <v>1572</v>
      </c>
      <c r="F70" s="337"/>
      <c r="G70" s="32" t="s">
        <v>1581</v>
      </c>
      <c r="H70" s="343"/>
      <c r="L70" s="257"/>
    </row>
    <row r="71" spans="1:12" s="7" customFormat="1" ht="11.25">
      <c r="A71" s="222"/>
      <c r="B71" s="223"/>
      <c r="C71" s="223"/>
      <c r="D71" s="223" t="s">
        <v>1557</v>
      </c>
      <c r="E71" s="32" t="s">
        <v>1573</v>
      </c>
      <c r="F71" s="337"/>
      <c r="G71" s="32" t="s">
        <v>1582</v>
      </c>
      <c r="H71" s="343"/>
      <c r="L71" s="257"/>
    </row>
    <row r="72" spans="1:12" s="7" customFormat="1" ht="11.25">
      <c r="A72" s="222"/>
      <c r="B72" s="223"/>
      <c r="C72" s="223"/>
      <c r="D72" s="223" t="s">
        <v>1558</v>
      </c>
      <c r="E72" s="32" t="s">
        <v>1574</v>
      </c>
      <c r="F72" s="337"/>
      <c r="G72" s="32" t="s">
        <v>1583</v>
      </c>
      <c r="H72" s="343"/>
      <c r="L72" s="257"/>
    </row>
    <row r="73" spans="1:12" s="7" customFormat="1" ht="11.25">
      <c r="A73" s="222"/>
      <c r="B73" s="223"/>
      <c r="C73" s="223"/>
      <c r="D73" s="223" t="s">
        <v>1559</v>
      </c>
      <c r="E73" s="32" t="s">
        <v>1575</v>
      </c>
      <c r="F73" s="337"/>
      <c r="G73" s="32" t="s">
        <v>1584</v>
      </c>
      <c r="H73" s="343"/>
      <c r="L73" s="257"/>
    </row>
    <row r="74" spans="1:12" s="7" customFormat="1" ht="11.25">
      <c r="A74" s="222"/>
      <c r="B74" s="223"/>
      <c r="C74" s="223"/>
      <c r="D74" s="223" t="s">
        <v>1560</v>
      </c>
      <c r="E74" s="32" t="s">
        <v>1576</v>
      </c>
      <c r="F74" s="337"/>
      <c r="G74" s="32" t="s">
        <v>1585</v>
      </c>
      <c r="H74" s="343"/>
      <c r="L74" s="257"/>
    </row>
    <row r="75" spans="1:12" s="7" customFormat="1" ht="11.25">
      <c r="A75" s="222"/>
      <c r="B75" s="223"/>
      <c r="C75" s="223"/>
      <c r="D75" s="223" t="s">
        <v>1561</v>
      </c>
      <c r="E75" s="32" t="s">
        <v>1577</v>
      </c>
      <c r="F75" s="337"/>
      <c r="G75" s="32" t="s">
        <v>1586</v>
      </c>
      <c r="H75" s="343"/>
      <c r="L75" s="257"/>
    </row>
    <row r="76" spans="1:12" s="7" customFormat="1" ht="11.25">
      <c r="A76" s="222"/>
      <c r="B76" s="223"/>
      <c r="C76" s="223"/>
      <c r="D76" s="223" t="s">
        <v>1562</v>
      </c>
      <c r="E76" s="32" t="s">
        <v>1578</v>
      </c>
      <c r="F76" s="337"/>
      <c r="G76" s="32" t="s">
        <v>1587</v>
      </c>
      <c r="H76" s="341"/>
      <c r="I76" s="33"/>
      <c r="L76" s="257"/>
    </row>
    <row r="77" spans="1:12" s="7" customFormat="1" ht="11.25">
      <c r="A77" s="222"/>
      <c r="B77" s="223"/>
      <c r="C77" s="223"/>
      <c r="D77" s="77" t="s">
        <v>1418</v>
      </c>
      <c r="E77" s="32" t="s">
        <v>1420</v>
      </c>
      <c r="F77" s="337"/>
      <c r="G77" s="32" t="s">
        <v>1421</v>
      </c>
      <c r="H77" s="341"/>
      <c r="L77" s="257"/>
    </row>
    <row r="78" spans="1:12" s="7" customFormat="1" ht="11.25">
      <c r="A78" s="222"/>
      <c r="B78" s="223"/>
      <c r="C78" s="223"/>
      <c r="D78" s="77" t="s">
        <v>1419</v>
      </c>
      <c r="E78" s="32" t="s">
        <v>1609</v>
      </c>
      <c r="F78" s="337"/>
      <c r="G78" s="32" t="s">
        <v>1422</v>
      </c>
      <c r="H78" s="341"/>
      <c r="I78" s="33"/>
      <c r="L78" s="257"/>
    </row>
    <row r="79" spans="1:12" s="7" customFormat="1" ht="11.25">
      <c r="A79" s="260"/>
      <c r="B79" s="261"/>
      <c r="C79" s="261" t="s">
        <v>1563</v>
      </c>
      <c r="D79" s="261"/>
      <c r="E79" s="24" t="s">
        <v>1129</v>
      </c>
      <c r="F79" s="336">
        <v>138340000</v>
      </c>
      <c r="G79" s="24" t="s">
        <v>361</v>
      </c>
      <c r="H79" s="339">
        <v>221932000</v>
      </c>
      <c r="I79" s="25"/>
      <c r="L79" s="257"/>
    </row>
    <row r="80" spans="1:12" s="7" customFormat="1" ht="11.25">
      <c r="A80" s="222"/>
      <c r="B80" s="223"/>
      <c r="C80" s="223"/>
      <c r="D80" s="223" t="s">
        <v>1564</v>
      </c>
      <c r="E80" s="32" t="s">
        <v>1130</v>
      </c>
      <c r="F80" s="337"/>
      <c r="G80" s="32" t="s">
        <v>362</v>
      </c>
      <c r="H80" s="343"/>
      <c r="L80" s="257"/>
    </row>
    <row r="81" spans="1:12" s="7" customFormat="1" ht="11.25">
      <c r="A81" s="222"/>
      <c r="B81" s="223"/>
      <c r="C81" s="223"/>
      <c r="D81" s="223" t="s">
        <v>939</v>
      </c>
      <c r="E81" s="32" t="s">
        <v>1131</v>
      </c>
      <c r="F81" s="337"/>
      <c r="G81" s="32" t="s">
        <v>363</v>
      </c>
      <c r="H81" s="343"/>
      <c r="L81" s="257"/>
    </row>
    <row r="82" spans="1:12" s="7" customFormat="1" ht="11.25">
      <c r="A82" s="222"/>
      <c r="B82" s="223"/>
      <c r="C82" s="223"/>
      <c r="D82" s="223" t="s">
        <v>2378</v>
      </c>
      <c r="E82" s="32" t="s">
        <v>248</v>
      </c>
      <c r="F82" s="337"/>
      <c r="G82" s="32" t="s">
        <v>364</v>
      </c>
      <c r="H82" s="343"/>
      <c r="L82" s="257"/>
    </row>
    <row r="83" spans="1:12" s="7" customFormat="1" ht="11.25">
      <c r="A83" s="222"/>
      <c r="B83" s="223"/>
      <c r="C83" s="223"/>
      <c r="D83" s="223" t="s">
        <v>1003</v>
      </c>
      <c r="E83" s="32" t="s">
        <v>249</v>
      </c>
      <c r="F83" s="337"/>
      <c r="G83" s="32" t="s">
        <v>365</v>
      </c>
      <c r="H83" s="343"/>
      <c r="L83" s="257"/>
    </row>
    <row r="84" spans="1:12" s="7" customFormat="1" ht="11.25">
      <c r="A84" s="222"/>
      <c r="B84" s="223"/>
      <c r="C84" s="223"/>
      <c r="D84" s="223" t="s">
        <v>1004</v>
      </c>
      <c r="E84" s="32" t="s">
        <v>250</v>
      </c>
      <c r="F84" s="337"/>
      <c r="G84" s="32" t="s">
        <v>366</v>
      </c>
      <c r="H84" s="343"/>
      <c r="L84" s="257"/>
    </row>
    <row r="85" spans="1:12" s="7" customFormat="1" ht="11.25">
      <c r="A85" s="222"/>
      <c r="B85" s="223"/>
      <c r="C85" s="223"/>
      <c r="D85" s="223" t="s">
        <v>133</v>
      </c>
      <c r="E85" s="32" t="s">
        <v>251</v>
      </c>
      <c r="F85" s="337"/>
      <c r="G85" s="32" t="s">
        <v>367</v>
      </c>
      <c r="H85" s="343"/>
      <c r="L85" s="257"/>
    </row>
    <row r="86" spans="1:12" s="7" customFormat="1" ht="11.25">
      <c r="A86" s="222"/>
      <c r="B86" s="223"/>
      <c r="C86" s="223"/>
      <c r="D86" s="223" t="s">
        <v>949</v>
      </c>
      <c r="E86" s="32" t="s">
        <v>252</v>
      </c>
      <c r="F86" s="337"/>
      <c r="G86" s="32" t="s">
        <v>368</v>
      </c>
      <c r="H86" s="343"/>
      <c r="L86" s="257"/>
    </row>
    <row r="87" spans="1:12" s="7" customFormat="1" ht="11.25">
      <c r="A87" s="222"/>
      <c r="B87" s="223"/>
      <c r="C87" s="223"/>
      <c r="D87" s="223" t="s">
        <v>134</v>
      </c>
      <c r="E87" s="32" t="s">
        <v>253</v>
      </c>
      <c r="F87" s="337"/>
      <c r="G87" s="32" t="s">
        <v>369</v>
      </c>
      <c r="H87" s="343"/>
      <c r="L87" s="257"/>
    </row>
    <row r="88" spans="1:12" s="7" customFormat="1" ht="11.25">
      <c r="A88" s="222"/>
      <c r="B88" s="223"/>
      <c r="C88" s="223"/>
      <c r="D88" s="223" t="s">
        <v>950</v>
      </c>
      <c r="E88" s="32" t="s">
        <v>254</v>
      </c>
      <c r="F88" s="337"/>
      <c r="G88" s="32" t="s">
        <v>370</v>
      </c>
      <c r="H88" s="343"/>
      <c r="L88" s="257"/>
    </row>
    <row r="89" spans="1:12" s="7" customFormat="1" ht="11.25">
      <c r="A89" s="222"/>
      <c r="B89" s="223"/>
      <c r="C89" s="223"/>
      <c r="D89" s="223" t="s">
        <v>951</v>
      </c>
      <c r="E89" s="32" t="s">
        <v>255</v>
      </c>
      <c r="F89" s="337"/>
      <c r="G89" s="32" t="s">
        <v>371</v>
      </c>
      <c r="H89" s="343"/>
      <c r="L89" s="257"/>
    </row>
    <row r="90" spans="1:12" s="7" customFormat="1" ht="11.25">
      <c r="A90" s="222"/>
      <c r="B90" s="223"/>
      <c r="C90" s="223"/>
      <c r="D90" s="223" t="s">
        <v>952</v>
      </c>
      <c r="E90" s="32" t="s">
        <v>256</v>
      </c>
      <c r="F90" s="337"/>
      <c r="G90" s="32" t="s">
        <v>372</v>
      </c>
      <c r="H90" s="343"/>
      <c r="L90" s="257"/>
    </row>
    <row r="91" spans="1:12" s="7" customFormat="1" ht="11.25">
      <c r="A91" s="99"/>
      <c r="B91" s="77"/>
      <c r="C91" s="77"/>
      <c r="D91" s="77" t="s">
        <v>953</v>
      </c>
      <c r="E91" s="32" t="s">
        <v>257</v>
      </c>
      <c r="F91" s="337"/>
      <c r="G91" s="32" t="s">
        <v>373</v>
      </c>
      <c r="H91" s="343"/>
      <c r="L91" s="257"/>
    </row>
    <row r="92" spans="1:12" s="7" customFormat="1" ht="11.25">
      <c r="A92" s="99"/>
      <c r="B92" s="77"/>
      <c r="C92" s="77"/>
      <c r="D92" s="77" t="s">
        <v>1565</v>
      </c>
      <c r="E92" s="32" t="s">
        <v>258</v>
      </c>
      <c r="F92" s="337">
        <v>134327000</v>
      </c>
      <c r="G92" s="32" t="s">
        <v>374</v>
      </c>
      <c r="H92" s="343">
        <v>217818000</v>
      </c>
      <c r="L92" s="257"/>
    </row>
    <row r="93" spans="1:12" s="7" customFormat="1" ht="11.25">
      <c r="A93" s="99"/>
      <c r="B93" s="77"/>
      <c r="C93" s="77"/>
      <c r="D93" s="77" t="s">
        <v>954</v>
      </c>
      <c r="E93" s="32" t="s">
        <v>259</v>
      </c>
      <c r="F93" s="337"/>
      <c r="G93" s="32" t="s">
        <v>375</v>
      </c>
      <c r="H93" s="343"/>
      <c r="L93" s="257"/>
    </row>
    <row r="94" spans="1:12" s="7" customFormat="1" ht="11.25">
      <c r="A94" s="99"/>
      <c r="B94" s="77"/>
      <c r="C94" s="77"/>
      <c r="D94" s="77" t="s">
        <v>955</v>
      </c>
      <c r="E94" s="32" t="s">
        <v>260</v>
      </c>
      <c r="F94" s="337"/>
      <c r="G94" s="32" t="s">
        <v>376</v>
      </c>
      <c r="H94" s="343"/>
      <c r="L94" s="257"/>
    </row>
    <row r="95" spans="1:12" s="7" customFormat="1" ht="11.25">
      <c r="A95" s="99"/>
      <c r="B95" s="77"/>
      <c r="C95" s="77"/>
      <c r="D95" s="77" t="s">
        <v>956</v>
      </c>
      <c r="E95" s="32" t="s">
        <v>261</v>
      </c>
      <c r="F95" s="337"/>
      <c r="G95" s="32" t="s">
        <v>377</v>
      </c>
      <c r="H95" s="343"/>
      <c r="L95" s="257"/>
    </row>
    <row r="96" spans="1:12" s="7" customFormat="1" ht="11.25">
      <c r="A96" s="99"/>
      <c r="B96" s="77"/>
      <c r="C96" s="77"/>
      <c r="D96" s="77" t="s">
        <v>957</v>
      </c>
      <c r="E96" s="32" t="s">
        <v>262</v>
      </c>
      <c r="F96" s="337"/>
      <c r="G96" s="32" t="s">
        <v>1158</v>
      </c>
      <c r="H96" s="343"/>
      <c r="L96" s="257"/>
    </row>
    <row r="97" spans="1:12" s="7" customFormat="1" ht="11.25">
      <c r="A97" s="99"/>
      <c r="B97" s="77"/>
      <c r="C97" s="77"/>
      <c r="D97" s="77" t="s">
        <v>2395</v>
      </c>
      <c r="E97" s="32" t="s">
        <v>263</v>
      </c>
      <c r="F97" s="337"/>
      <c r="G97" s="32" t="s">
        <v>1159</v>
      </c>
      <c r="H97" s="343"/>
      <c r="L97" s="257"/>
    </row>
    <row r="98" spans="1:12" s="7" customFormat="1" ht="11.25">
      <c r="A98" s="99"/>
      <c r="B98" s="77"/>
      <c r="C98" s="77"/>
      <c r="D98" s="77" t="s">
        <v>2396</v>
      </c>
      <c r="E98" s="32" t="s">
        <v>264</v>
      </c>
      <c r="F98" s="337"/>
      <c r="G98" s="32" t="s">
        <v>1511</v>
      </c>
      <c r="H98" s="343"/>
      <c r="L98" s="257"/>
    </row>
    <row r="99" spans="1:12" s="7" customFormat="1" ht="11.25">
      <c r="A99" s="99"/>
      <c r="B99" s="77"/>
      <c r="C99" s="77"/>
      <c r="D99" s="223" t="s">
        <v>2397</v>
      </c>
      <c r="E99" s="32" t="s">
        <v>265</v>
      </c>
      <c r="F99" s="337"/>
      <c r="G99" s="32" t="s">
        <v>1512</v>
      </c>
      <c r="H99" s="343"/>
      <c r="L99" s="257"/>
    </row>
    <row r="100" spans="1:12" s="7" customFormat="1" ht="11.25">
      <c r="A100" s="99"/>
      <c r="B100" s="77"/>
      <c r="C100" s="77"/>
      <c r="D100" s="77" t="s">
        <v>1000</v>
      </c>
      <c r="E100" s="32" t="s">
        <v>1423</v>
      </c>
      <c r="F100" s="337"/>
      <c r="G100" s="32" t="s">
        <v>1425</v>
      </c>
      <c r="H100" s="341"/>
      <c r="L100" s="257"/>
    </row>
    <row r="101" spans="1:12" s="7" customFormat="1" ht="11.25">
      <c r="A101" s="99"/>
      <c r="B101" s="77"/>
      <c r="C101" s="77"/>
      <c r="D101" s="77" t="s">
        <v>1001</v>
      </c>
      <c r="E101" s="32" t="s">
        <v>1424</v>
      </c>
      <c r="F101" s="337">
        <v>4013000</v>
      </c>
      <c r="G101" s="32" t="s">
        <v>1426</v>
      </c>
      <c r="H101" s="341">
        <v>4114000</v>
      </c>
      <c r="L101" s="257"/>
    </row>
    <row r="102" spans="1:12" s="7" customFormat="1" ht="11.25">
      <c r="A102" s="99"/>
      <c r="B102" s="77"/>
      <c r="C102" s="77"/>
      <c r="D102" s="77" t="s">
        <v>1002</v>
      </c>
      <c r="E102" s="32" t="s">
        <v>741</v>
      </c>
      <c r="F102" s="337"/>
      <c r="G102" s="32" t="s">
        <v>2115</v>
      </c>
      <c r="H102" s="341"/>
      <c r="I102" s="33"/>
      <c r="L102" s="257"/>
    </row>
    <row r="103" spans="1:9" ht="11.25">
      <c r="A103" s="260"/>
      <c r="B103" s="261"/>
      <c r="C103" s="261" t="s">
        <v>474</v>
      </c>
      <c r="D103" s="261"/>
      <c r="E103" s="24" t="s">
        <v>267</v>
      </c>
      <c r="F103" s="336"/>
      <c r="G103" s="24" t="s">
        <v>1513</v>
      </c>
      <c r="H103" s="339">
        <v>2152000</v>
      </c>
      <c r="I103" s="25"/>
    </row>
    <row r="104" spans="1:8" ht="11.25">
      <c r="A104" s="222"/>
      <c r="B104" s="223"/>
      <c r="C104" s="223"/>
      <c r="D104" s="223" t="s">
        <v>485</v>
      </c>
      <c r="E104" s="32" t="s">
        <v>269</v>
      </c>
      <c r="F104" s="337"/>
      <c r="G104" s="32" t="s">
        <v>1514</v>
      </c>
      <c r="H104" s="343">
        <v>2152000</v>
      </c>
    </row>
    <row r="105" spans="1:8" ht="11.25">
      <c r="A105" s="222"/>
      <c r="B105" s="223"/>
      <c r="C105" s="223"/>
      <c r="D105" s="223" t="s">
        <v>1707</v>
      </c>
      <c r="E105" s="32" t="s">
        <v>270</v>
      </c>
      <c r="F105" s="337"/>
      <c r="G105" s="32" t="s">
        <v>1515</v>
      </c>
      <c r="H105" s="343"/>
    </row>
    <row r="106" spans="1:9" ht="11.25">
      <c r="A106" s="260"/>
      <c r="B106" s="261"/>
      <c r="C106" s="261" t="s">
        <v>1566</v>
      </c>
      <c r="D106" s="261"/>
      <c r="E106" s="24" t="s">
        <v>268</v>
      </c>
      <c r="F106" s="336">
        <v>8000</v>
      </c>
      <c r="G106" s="24" t="s">
        <v>1516</v>
      </c>
      <c r="H106" s="339">
        <v>12000</v>
      </c>
      <c r="I106" s="25"/>
    </row>
    <row r="107" spans="1:8" ht="11.25">
      <c r="A107" s="222"/>
      <c r="B107" s="223"/>
      <c r="C107" s="223"/>
      <c r="D107" s="223" t="s">
        <v>1567</v>
      </c>
      <c r="E107" s="32" t="s">
        <v>271</v>
      </c>
      <c r="F107" s="337"/>
      <c r="G107" s="32" t="s">
        <v>1517</v>
      </c>
      <c r="H107" s="341"/>
    </row>
    <row r="108" spans="1:9" ht="11.25">
      <c r="A108" s="224"/>
      <c r="B108" s="225"/>
      <c r="C108" s="225"/>
      <c r="D108" s="225" t="s">
        <v>1568</v>
      </c>
      <c r="E108" s="35" t="s">
        <v>272</v>
      </c>
      <c r="F108" s="337">
        <v>8000</v>
      </c>
      <c r="G108" s="35" t="s">
        <v>1518</v>
      </c>
      <c r="H108" s="342">
        <v>12000</v>
      </c>
      <c r="I108" s="33"/>
    </row>
    <row r="109" spans="1:8" ht="11.25">
      <c r="A109" s="546"/>
      <c r="B109" s="377"/>
      <c r="C109" s="377"/>
      <c r="D109" s="377"/>
      <c r="E109" s="375"/>
      <c r="F109" s="542"/>
      <c r="G109" s="375"/>
      <c r="H109" s="543"/>
    </row>
    <row r="110" spans="1:9" ht="11.25">
      <c r="A110" s="260"/>
      <c r="B110" s="31" t="s">
        <v>81</v>
      </c>
      <c r="C110" s="261"/>
      <c r="D110" s="261"/>
      <c r="E110" s="24" t="s">
        <v>266</v>
      </c>
      <c r="F110" s="336">
        <v>483000</v>
      </c>
      <c r="G110" s="24" t="s">
        <v>1519</v>
      </c>
      <c r="H110" s="339"/>
      <c r="I110" s="25"/>
    </row>
    <row r="111" spans="1:8" ht="11.25">
      <c r="A111" s="222"/>
      <c r="B111" s="262"/>
      <c r="C111" s="223" t="s">
        <v>491</v>
      </c>
      <c r="D111" s="223"/>
      <c r="E111" s="32" t="s">
        <v>273</v>
      </c>
      <c r="F111" s="337"/>
      <c r="G111" s="32" t="s">
        <v>1520</v>
      </c>
      <c r="H111" s="345"/>
    </row>
    <row r="112" spans="1:8" ht="11.25">
      <c r="A112" s="224"/>
      <c r="B112" s="263"/>
      <c r="C112" s="57" t="s">
        <v>475</v>
      </c>
      <c r="D112" s="225"/>
      <c r="E112" s="35" t="s">
        <v>274</v>
      </c>
      <c r="F112" s="338">
        <v>483000</v>
      </c>
      <c r="G112" s="35" t="s">
        <v>1521</v>
      </c>
      <c r="H112" s="346"/>
    </row>
    <row r="113" spans="1:8" ht="11.25">
      <c r="A113" s="546"/>
      <c r="B113" s="377"/>
      <c r="C113" s="377"/>
      <c r="D113" s="377"/>
      <c r="E113" s="375"/>
      <c r="F113" s="542"/>
      <c r="G113" s="375"/>
      <c r="H113" s="543"/>
    </row>
    <row r="114" spans="1:9" ht="11.25">
      <c r="A114" s="29"/>
      <c r="B114" s="31" t="s">
        <v>1318</v>
      </c>
      <c r="C114" s="31"/>
      <c r="D114" s="31"/>
      <c r="E114" s="24" t="s">
        <v>275</v>
      </c>
      <c r="F114" s="336">
        <v>23035000</v>
      </c>
      <c r="G114" s="24" t="s">
        <v>1522</v>
      </c>
      <c r="H114" s="339">
        <v>32849000</v>
      </c>
      <c r="I114" s="25"/>
    </row>
    <row r="115" spans="1:8" ht="11.25">
      <c r="A115" s="222"/>
      <c r="B115" s="223"/>
      <c r="C115" s="223" t="s">
        <v>466</v>
      </c>
      <c r="D115" s="223"/>
      <c r="E115" s="32" t="s">
        <v>276</v>
      </c>
      <c r="F115" s="337">
        <v>23035000</v>
      </c>
      <c r="G115" s="32" t="s">
        <v>1523</v>
      </c>
      <c r="H115" s="347">
        <v>32849000</v>
      </c>
    </row>
    <row r="116" spans="1:8" ht="11.25">
      <c r="A116" s="222"/>
      <c r="B116" s="223"/>
      <c r="C116" s="223" t="s">
        <v>467</v>
      </c>
      <c r="D116" s="223"/>
      <c r="E116" s="32" t="s">
        <v>277</v>
      </c>
      <c r="F116" s="337"/>
      <c r="G116" s="32" t="s">
        <v>1524</v>
      </c>
      <c r="H116" s="347"/>
    </row>
    <row r="117" spans="1:8" ht="11.25">
      <c r="A117" s="546"/>
      <c r="B117" s="377"/>
      <c r="C117" s="377"/>
      <c r="D117" s="377"/>
      <c r="E117" s="375"/>
      <c r="F117" s="542"/>
      <c r="G117" s="375"/>
      <c r="H117" s="543"/>
    </row>
    <row r="118" spans="1:12" s="7" customFormat="1" ht="11.25">
      <c r="A118" s="29" t="s">
        <v>468</v>
      </c>
      <c r="B118" s="31"/>
      <c r="C118" s="31"/>
      <c r="D118" s="31"/>
      <c r="E118" s="24" t="s">
        <v>1132</v>
      </c>
      <c r="F118" s="450">
        <v>422318000</v>
      </c>
      <c r="G118" s="24" t="s">
        <v>1525</v>
      </c>
      <c r="H118" s="451">
        <v>530490000</v>
      </c>
      <c r="I118" s="25"/>
      <c r="L118" s="257"/>
    </row>
    <row r="119" spans="1:8" ht="11.25">
      <c r="A119" s="546"/>
      <c r="B119" s="377"/>
      <c r="C119" s="377"/>
      <c r="D119" s="377"/>
      <c r="E119" s="375"/>
      <c r="F119" s="513"/>
      <c r="G119" s="375"/>
      <c r="H119" s="547"/>
    </row>
    <row r="120" spans="1:12" s="7" customFormat="1" ht="11.25">
      <c r="A120" s="780" t="s">
        <v>487</v>
      </c>
      <c r="B120" s="781"/>
      <c r="C120" s="781"/>
      <c r="D120" s="781"/>
      <c r="E120" s="781"/>
      <c r="F120" s="781"/>
      <c r="G120" s="781"/>
      <c r="H120" s="782"/>
      <c r="L120" s="257"/>
    </row>
    <row r="121" spans="1:8" ht="11.25">
      <c r="A121" s="546"/>
      <c r="B121" s="377"/>
      <c r="C121" s="377"/>
      <c r="D121" s="377"/>
      <c r="E121" s="375"/>
      <c r="F121" s="513"/>
      <c r="G121" s="375"/>
      <c r="H121" s="547"/>
    </row>
    <row r="122" spans="1:12" s="7" customFormat="1" ht="11.25">
      <c r="A122" s="29" t="s">
        <v>965</v>
      </c>
      <c r="B122" s="31"/>
      <c r="C122" s="31"/>
      <c r="D122" s="31"/>
      <c r="E122" s="24" t="s">
        <v>233</v>
      </c>
      <c r="F122" s="336">
        <v>286612000</v>
      </c>
      <c r="G122" s="24" t="s">
        <v>378</v>
      </c>
      <c r="H122" s="339">
        <v>308253000</v>
      </c>
      <c r="I122" s="25"/>
      <c r="L122" s="257"/>
    </row>
    <row r="123" spans="1:8" ht="11.25">
      <c r="A123" s="546"/>
      <c r="B123" s="377"/>
      <c r="C123" s="377"/>
      <c r="D123" s="377"/>
      <c r="E123" s="375"/>
      <c r="F123" s="542"/>
      <c r="G123" s="375"/>
      <c r="H123" s="543"/>
    </row>
    <row r="124" spans="1:12" s="7" customFormat="1" ht="11.25">
      <c r="A124" s="226"/>
      <c r="B124" s="262" t="s">
        <v>967</v>
      </c>
      <c r="C124" s="262"/>
      <c r="D124" s="262"/>
      <c r="E124" s="32" t="s">
        <v>234</v>
      </c>
      <c r="F124" s="337"/>
      <c r="G124" s="32" t="s">
        <v>379</v>
      </c>
      <c r="H124" s="343"/>
      <c r="L124" s="257"/>
    </row>
    <row r="125" spans="1:8" ht="11.25">
      <c r="A125" s="546"/>
      <c r="B125" s="377"/>
      <c r="C125" s="377"/>
      <c r="D125" s="377"/>
      <c r="E125" s="375"/>
      <c r="F125" s="542"/>
      <c r="G125" s="375"/>
      <c r="H125" s="543"/>
    </row>
    <row r="126" spans="1:12" s="7" customFormat="1" ht="11.25">
      <c r="A126" s="29"/>
      <c r="B126" s="31" t="s">
        <v>968</v>
      </c>
      <c r="C126" s="31"/>
      <c r="D126" s="31"/>
      <c r="E126" s="24" t="s">
        <v>1134</v>
      </c>
      <c r="F126" s="336">
        <v>286612000</v>
      </c>
      <c r="G126" s="24" t="s">
        <v>380</v>
      </c>
      <c r="H126" s="339">
        <v>308253000</v>
      </c>
      <c r="I126" s="25"/>
      <c r="L126" s="257"/>
    </row>
    <row r="127" spans="1:12" s="7" customFormat="1" ht="11.25">
      <c r="A127" s="260"/>
      <c r="B127" s="261"/>
      <c r="C127" s="261" t="s">
        <v>469</v>
      </c>
      <c r="D127" s="261"/>
      <c r="E127" s="24" t="s">
        <v>281</v>
      </c>
      <c r="F127" s="336">
        <v>286612000</v>
      </c>
      <c r="G127" s="24" t="s">
        <v>381</v>
      </c>
      <c r="H127" s="339">
        <v>308175000</v>
      </c>
      <c r="I127" s="25"/>
      <c r="L127" s="257"/>
    </row>
    <row r="128" spans="1:12" s="7" customFormat="1" ht="11.25">
      <c r="A128" s="222"/>
      <c r="B128" s="223"/>
      <c r="C128" s="223"/>
      <c r="D128" s="223" t="s">
        <v>2305</v>
      </c>
      <c r="E128" s="32" t="s">
        <v>282</v>
      </c>
      <c r="F128" s="337">
        <v>144134000</v>
      </c>
      <c r="G128" s="32" t="s">
        <v>382</v>
      </c>
      <c r="H128" s="341">
        <v>153525000</v>
      </c>
      <c r="L128" s="257"/>
    </row>
    <row r="129" spans="1:12" s="7" customFormat="1" ht="11.25">
      <c r="A129" s="222"/>
      <c r="B129" s="223"/>
      <c r="C129" s="223"/>
      <c r="D129" s="223" t="s">
        <v>2303</v>
      </c>
      <c r="E129" s="32" t="s">
        <v>283</v>
      </c>
      <c r="F129" s="337">
        <v>177000000</v>
      </c>
      <c r="G129" s="32" t="s">
        <v>383</v>
      </c>
      <c r="H129" s="341">
        <v>177000000</v>
      </c>
      <c r="L129" s="257"/>
    </row>
    <row r="130" spans="1:12" s="7" customFormat="1" ht="11.25">
      <c r="A130" s="222"/>
      <c r="B130" s="223"/>
      <c r="C130" s="223"/>
      <c r="D130" s="223" t="s">
        <v>2308</v>
      </c>
      <c r="E130" s="32" t="s">
        <v>284</v>
      </c>
      <c r="F130" s="337">
        <v>-34522000</v>
      </c>
      <c r="G130" s="32" t="s">
        <v>384</v>
      </c>
      <c r="H130" s="341">
        <v>-22350000</v>
      </c>
      <c r="I130" s="33"/>
      <c r="L130" s="257"/>
    </row>
    <row r="131" spans="1:12" s="7" customFormat="1" ht="11.25">
      <c r="A131" s="222"/>
      <c r="B131" s="223"/>
      <c r="C131" s="223"/>
      <c r="D131" s="223" t="s">
        <v>1429</v>
      </c>
      <c r="E131" s="32" t="s">
        <v>1427</v>
      </c>
      <c r="F131" s="337"/>
      <c r="G131" s="32" t="s">
        <v>1431</v>
      </c>
      <c r="H131" s="341"/>
      <c r="L131" s="257"/>
    </row>
    <row r="132" spans="1:12" s="7" customFormat="1" ht="11.25">
      <c r="A132" s="222"/>
      <c r="B132" s="223"/>
      <c r="C132" s="223"/>
      <c r="D132" s="223" t="s">
        <v>1430</v>
      </c>
      <c r="E132" s="32" t="s">
        <v>1428</v>
      </c>
      <c r="F132" s="337"/>
      <c r="G132" s="32" t="s">
        <v>1432</v>
      </c>
      <c r="H132" s="341"/>
      <c r="I132" s="33"/>
      <c r="L132" s="257"/>
    </row>
    <row r="133" spans="1:12" s="7" customFormat="1" ht="11.25">
      <c r="A133" s="260"/>
      <c r="B133" s="261"/>
      <c r="C133" s="261" t="s">
        <v>470</v>
      </c>
      <c r="D133" s="261"/>
      <c r="E133" s="24" t="s">
        <v>285</v>
      </c>
      <c r="F133" s="336"/>
      <c r="G133" s="24" t="s">
        <v>385</v>
      </c>
      <c r="H133" s="339">
        <v>78000</v>
      </c>
      <c r="I133" s="25"/>
      <c r="L133" s="257"/>
    </row>
    <row r="134" spans="1:12" s="7" customFormat="1" ht="11.25">
      <c r="A134" s="222"/>
      <c r="B134" s="223"/>
      <c r="C134" s="223"/>
      <c r="D134" s="223" t="s">
        <v>135</v>
      </c>
      <c r="E134" s="32" t="s">
        <v>286</v>
      </c>
      <c r="F134" s="337"/>
      <c r="G134" s="32" t="s">
        <v>386</v>
      </c>
      <c r="H134" s="341">
        <v>78000</v>
      </c>
      <c r="L134" s="257"/>
    </row>
    <row r="135" spans="1:12" s="7" customFormat="1" ht="11.25">
      <c r="A135" s="222"/>
      <c r="B135" s="223"/>
      <c r="C135" s="223"/>
      <c r="D135" s="223" t="s">
        <v>43</v>
      </c>
      <c r="E135" s="32" t="s">
        <v>287</v>
      </c>
      <c r="F135" s="337"/>
      <c r="G135" s="32" t="s">
        <v>387</v>
      </c>
      <c r="H135" s="341"/>
      <c r="L135" s="257"/>
    </row>
    <row r="136" spans="1:12" s="7" customFormat="1" ht="11.25">
      <c r="A136" s="222"/>
      <c r="B136" s="223"/>
      <c r="C136" s="223"/>
      <c r="D136" s="223" t="s">
        <v>492</v>
      </c>
      <c r="E136" s="32" t="s">
        <v>288</v>
      </c>
      <c r="F136" s="337"/>
      <c r="G136" s="32" t="s">
        <v>388</v>
      </c>
      <c r="H136" s="341"/>
      <c r="L136" s="257"/>
    </row>
    <row r="137" spans="1:12" s="7" customFormat="1" ht="11.25">
      <c r="A137" s="222"/>
      <c r="B137" s="223"/>
      <c r="C137" s="223"/>
      <c r="D137" s="223" t="s">
        <v>2309</v>
      </c>
      <c r="E137" s="32" t="s">
        <v>289</v>
      </c>
      <c r="F137" s="337"/>
      <c r="G137" s="32" t="s">
        <v>389</v>
      </c>
      <c r="H137" s="341"/>
      <c r="I137" s="33"/>
      <c r="L137" s="257"/>
    </row>
    <row r="138" spans="1:12" s="7" customFormat="1" ht="11.25">
      <c r="A138" s="222"/>
      <c r="B138" s="223"/>
      <c r="C138" s="223"/>
      <c r="D138" s="223" t="s">
        <v>1433</v>
      </c>
      <c r="E138" s="32" t="s">
        <v>1435</v>
      </c>
      <c r="F138" s="337"/>
      <c r="G138" s="32" t="s">
        <v>1437</v>
      </c>
      <c r="H138" s="341"/>
      <c r="L138" s="257"/>
    </row>
    <row r="139" spans="1:12" s="7" customFormat="1" ht="11.25">
      <c r="A139" s="222"/>
      <c r="B139" s="223"/>
      <c r="C139" s="223"/>
      <c r="D139" s="223" t="s">
        <v>1434</v>
      </c>
      <c r="E139" s="32" t="s">
        <v>1436</v>
      </c>
      <c r="F139" s="337"/>
      <c r="G139" s="32" t="s">
        <v>1438</v>
      </c>
      <c r="H139" s="341"/>
      <c r="I139" s="33"/>
      <c r="L139" s="257"/>
    </row>
    <row r="140" spans="1:12" s="7" customFormat="1" ht="11.25">
      <c r="A140" s="260"/>
      <c r="B140" s="261"/>
      <c r="C140" s="261" t="s">
        <v>476</v>
      </c>
      <c r="D140" s="261"/>
      <c r="E140" s="24" t="s">
        <v>290</v>
      </c>
      <c r="F140" s="336"/>
      <c r="G140" s="24" t="s">
        <v>390</v>
      </c>
      <c r="H140" s="339"/>
      <c r="I140" s="25"/>
      <c r="L140" s="257"/>
    </row>
    <row r="141" spans="1:12" s="7" customFormat="1" ht="11.25">
      <c r="A141" s="222"/>
      <c r="B141" s="223"/>
      <c r="C141" s="223"/>
      <c r="D141" s="223" t="s">
        <v>493</v>
      </c>
      <c r="E141" s="32" t="s">
        <v>291</v>
      </c>
      <c r="F141" s="337"/>
      <c r="G141" s="32" t="s">
        <v>391</v>
      </c>
      <c r="H141" s="341"/>
      <c r="L141" s="257"/>
    </row>
    <row r="142" spans="1:12" s="7" customFormat="1" ht="11.25">
      <c r="A142" s="222"/>
      <c r="B142" s="223"/>
      <c r="C142" s="223"/>
      <c r="D142" s="223" t="s">
        <v>1711</v>
      </c>
      <c r="E142" s="32" t="s">
        <v>292</v>
      </c>
      <c r="F142" s="337"/>
      <c r="G142" s="32" t="s">
        <v>392</v>
      </c>
      <c r="H142" s="341"/>
      <c r="L142" s="257"/>
    </row>
    <row r="143" spans="1:12" s="7" customFormat="1" ht="11.25">
      <c r="A143" s="260"/>
      <c r="B143" s="261"/>
      <c r="C143" s="261" t="s">
        <v>471</v>
      </c>
      <c r="D143" s="261"/>
      <c r="E143" s="24" t="s">
        <v>293</v>
      </c>
      <c r="F143" s="336"/>
      <c r="G143" s="24" t="s">
        <v>393</v>
      </c>
      <c r="H143" s="339"/>
      <c r="I143" s="25"/>
      <c r="L143" s="257"/>
    </row>
    <row r="144" spans="1:12" s="7" customFormat="1" ht="11.25">
      <c r="A144" s="222"/>
      <c r="B144" s="223"/>
      <c r="C144" s="223"/>
      <c r="D144" s="223" t="s">
        <v>2310</v>
      </c>
      <c r="E144" s="32" t="s">
        <v>294</v>
      </c>
      <c r="F144" s="337"/>
      <c r="G144" s="32" t="s">
        <v>394</v>
      </c>
      <c r="H144" s="348"/>
      <c r="L144" s="257"/>
    </row>
    <row r="145" spans="1:12" s="7" customFormat="1" ht="11.25">
      <c r="A145" s="222"/>
      <c r="B145" s="223"/>
      <c r="C145" s="223"/>
      <c r="D145" s="223" t="s">
        <v>1321</v>
      </c>
      <c r="E145" s="32" t="s">
        <v>295</v>
      </c>
      <c r="F145" s="337"/>
      <c r="G145" s="32" t="s">
        <v>395</v>
      </c>
      <c r="H145" s="342"/>
      <c r="L145" s="257"/>
    </row>
    <row r="146" spans="1:8" ht="11.25">
      <c r="A146" s="546"/>
      <c r="B146" s="377"/>
      <c r="C146" s="377"/>
      <c r="D146" s="377"/>
      <c r="E146" s="375"/>
      <c r="F146" s="542"/>
      <c r="G146" s="375"/>
      <c r="H146" s="543"/>
    </row>
    <row r="147" spans="1:12" s="7" customFormat="1" ht="11.25">
      <c r="A147" s="260"/>
      <c r="B147" s="31" t="s">
        <v>969</v>
      </c>
      <c r="C147" s="31"/>
      <c r="D147" s="31"/>
      <c r="E147" s="24" t="s">
        <v>296</v>
      </c>
      <c r="F147" s="336"/>
      <c r="G147" s="24" t="s">
        <v>396</v>
      </c>
      <c r="H147" s="340"/>
      <c r="L147" s="257"/>
    </row>
    <row r="148" spans="1:8" ht="11.25">
      <c r="A148" s="546"/>
      <c r="B148" s="377"/>
      <c r="C148" s="377"/>
      <c r="D148" s="377"/>
      <c r="E148" s="375"/>
      <c r="F148" s="542"/>
      <c r="G148" s="375"/>
      <c r="H148" s="543"/>
    </row>
    <row r="149" spans="1:12" s="41" customFormat="1" ht="11.25">
      <c r="A149" s="29" t="s">
        <v>966</v>
      </c>
      <c r="B149" s="31"/>
      <c r="C149" s="31"/>
      <c r="D149" s="31"/>
      <c r="E149" s="24" t="s">
        <v>297</v>
      </c>
      <c r="F149" s="336">
        <v>135187000</v>
      </c>
      <c r="G149" s="24" t="s">
        <v>397</v>
      </c>
      <c r="H149" s="339">
        <v>219020000</v>
      </c>
      <c r="I149" s="25"/>
      <c r="L149" s="258"/>
    </row>
    <row r="150" spans="1:8" ht="11.25">
      <c r="A150" s="546"/>
      <c r="B150" s="377"/>
      <c r="C150" s="377"/>
      <c r="D150" s="377"/>
      <c r="E150" s="375"/>
      <c r="F150" s="542"/>
      <c r="G150" s="375"/>
      <c r="H150" s="543"/>
    </row>
    <row r="151" spans="1:12" s="7" customFormat="1" ht="11.25">
      <c r="A151" s="222"/>
      <c r="B151" s="262" t="s">
        <v>970</v>
      </c>
      <c r="C151" s="223"/>
      <c r="D151" s="223"/>
      <c r="E151" s="32" t="s">
        <v>298</v>
      </c>
      <c r="F151" s="337"/>
      <c r="G151" s="32" t="s">
        <v>398</v>
      </c>
      <c r="H151" s="343"/>
      <c r="L151" s="257"/>
    </row>
    <row r="152" spans="1:8" ht="11.25">
      <c r="A152" s="546"/>
      <c r="B152" s="377"/>
      <c r="C152" s="377"/>
      <c r="D152" s="377"/>
      <c r="E152" s="375"/>
      <c r="F152" s="542"/>
      <c r="G152" s="375"/>
      <c r="H152" s="543"/>
    </row>
    <row r="153" spans="1:12" s="7" customFormat="1" ht="11.25">
      <c r="A153" s="226"/>
      <c r="B153" s="262" t="s">
        <v>971</v>
      </c>
      <c r="C153" s="262"/>
      <c r="D153" s="262"/>
      <c r="E153" s="32" t="s">
        <v>299</v>
      </c>
      <c r="F153" s="337"/>
      <c r="G153" s="32" t="s">
        <v>399</v>
      </c>
      <c r="H153" s="343"/>
      <c r="L153" s="257"/>
    </row>
    <row r="154" spans="1:8" ht="11.25">
      <c r="A154" s="546"/>
      <c r="B154" s="377"/>
      <c r="C154" s="377"/>
      <c r="D154" s="377"/>
      <c r="E154" s="375"/>
      <c r="F154" s="542"/>
      <c r="G154" s="375"/>
      <c r="H154" s="543"/>
    </row>
    <row r="155" spans="1:12" s="7" customFormat="1" ht="11.25">
      <c r="A155" s="29"/>
      <c r="B155" s="31" t="s">
        <v>972</v>
      </c>
      <c r="C155" s="31"/>
      <c r="D155" s="31"/>
      <c r="E155" s="24" t="s">
        <v>1135</v>
      </c>
      <c r="F155" s="336">
        <v>135156000</v>
      </c>
      <c r="G155" s="24" t="s">
        <v>400</v>
      </c>
      <c r="H155" s="339">
        <v>218998000</v>
      </c>
      <c r="I155" s="25"/>
      <c r="L155" s="257"/>
    </row>
    <row r="156" spans="1:12" s="7" customFormat="1" ht="11.25">
      <c r="A156" s="29"/>
      <c r="B156" s="31"/>
      <c r="C156" s="261" t="s">
        <v>494</v>
      </c>
      <c r="D156" s="261"/>
      <c r="E156" s="24" t="s">
        <v>235</v>
      </c>
      <c r="F156" s="336">
        <v>47000</v>
      </c>
      <c r="G156" s="24" t="s">
        <v>401</v>
      </c>
      <c r="H156" s="339">
        <v>47000</v>
      </c>
      <c r="L156" s="257"/>
    </row>
    <row r="157" spans="1:12" s="7" customFormat="1" ht="11.25">
      <c r="A157" s="260"/>
      <c r="B157" s="261"/>
      <c r="C157" s="261" t="s">
        <v>495</v>
      </c>
      <c r="D157" s="261"/>
      <c r="E157" s="24" t="s">
        <v>236</v>
      </c>
      <c r="F157" s="336">
        <v>135096000</v>
      </c>
      <c r="G157" s="24" t="s">
        <v>403</v>
      </c>
      <c r="H157" s="339">
        <v>218951000</v>
      </c>
      <c r="I157" s="25"/>
      <c r="L157" s="257"/>
    </row>
    <row r="158" spans="1:12" s="7" customFormat="1" ht="11.25">
      <c r="A158" s="222"/>
      <c r="B158" s="223"/>
      <c r="C158" s="223"/>
      <c r="D158" s="223" t="s">
        <v>1323</v>
      </c>
      <c r="E158" s="32" t="s">
        <v>300</v>
      </c>
      <c r="F158" s="337">
        <v>134327000</v>
      </c>
      <c r="G158" s="32" t="s">
        <v>402</v>
      </c>
      <c r="H158" s="341">
        <v>217818000</v>
      </c>
      <c r="L158" s="257"/>
    </row>
    <row r="159" spans="1:12" s="7" customFormat="1" ht="11.25">
      <c r="A159" s="222"/>
      <c r="B159" s="223"/>
      <c r="C159" s="223"/>
      <c r="D159" s="223" t="s">
        <v>1322</v>
      </c>
      <c r="E159" s="32" t="s">
        <v>301</v>
      </c>
      <c r="F159" s="337"/>
      <c r="G159" s="32" t="s">
        <v>404</v>
      </c>
      <c r="H159" s="341"/>
      <c r="L159" s="257"/>
    </row>
    <row r="160" spans="1:12" s="7" customFormat="1" ht="11.25">
      <c r="A160" s="222"/>
      <c r="B160" s="223"/>
      <c r="C160" s="223"/>
      <c r="D160" s="223" t="s">
        <v>2311</v>
      </c>
      <c r="E160" s="32" t="s">
        <v>302</v>
      </c>
      <c r="F160" s="337">
        <v>-341000</v>
      </c>
      <c r="G160" s="32" t="s">
        <v>405</v>
      </c>
      <c r="H160" s="341"/>
      <c r="I160" s="33"/>
      <c r="L160" s="257"/>
    </row>
    <row r="161" spans="1:12" s="7" customFormat="1" ht="11.25">
      <c r="A161" s="222"/>
      <c r="B161" s="223"/>
      <c r="C161" s="223"/>
      <c r="D161" s="223" t="s">
        <v>1439</v>
      </c>
      <c r="E161" s="32" t="s">
        <v>1441</v>
      </c>
      <c r="F161" s="337">
        <v>1110000</v>
      </c>
      <c r="G161" s="32" t="s">
        <v>1443</v>
      </c>
      <c r="H161" s="341">
        <v>1133000</v>
      </c>
      <c r="L161" s="257"/>
    </row>
    <row r="162" spans="1:12" s="7" customFormat="1" ht="11.25">
      <c r="A162" s="222"/>
      <c r="B162" s="223"/>
      <c r="C162" s="223"/>
      <c r="D162" s="223" t="s">
        <v>1440</v>
      </c>
      <c r="E162" s="32" t="s">
        <v>1442</v>
      </c>
      <c r="F162" s="337"/>
      <c r="G162" s="32" t="s">
        <v>1444</v>
      </c>
      <c r="H162" s="341"/>
      <c r="I162" s="33"/>
      <c r="L162" s="257"/>
    </row>
    <row r="163" spans="1:12" s="7" customFormat="1" ht="11.25">
      <c r="A163" s="260"/>
      <c r="B163" s="261"/>
      <c r="C163" s="261" t="s">
        <v>67</v>
      </c>
      <c r="D163" s="261"/>
      <c r="E163" s="24" t="s">
        <v>303</v>
      </c>
      <c r="F163" s="336">
        <v>0</v>
      </c>
      <c r="G163" s="24" t="s">
        <v>406</v>
      </c>
      <c r="H163" s="339">
        <v>0</v>
      </c>
      <c r="I163" s="25"/>
      <c r="L163" s="257"/>
    </row>
    <row r="164" spans="1:12" s="7" customFormat="1" ht="11.25">
      <c r="A164" s="222"/>
      <c r="B164" s="223"/>
      <c r="C164" s="223"/>
      <c r="D164" s="223" t="s">
        <v>136</v>
      </c>
      <c r="E164" s="32" t="s">
        <v>304</v>
      </c>
      <c r="F164" s="337">
        <v>406000</v>
      </c>
      <c r="G164" s="32" t="s">
        <v>407</v>
      </c>
      <c r="H164" s="341">
        <v>328000</v>
      </c>
      <c r="L164" s="257"/>
    </row>
    <row r="165" spans="1:12" s="7" customFormat="1" ht="11.25">
      <c r="A165" s="222"/>
      <c r="B165" s="223"/>
      <c r="C165" s="223"/>
      <c r="D165" s="223" t="s">
        <v>69</v>
      </c>
      <c r="E165" s="32" t="s">
        <v>305</v>
      </c>
      <c r="F165" s="337"/>
      <c r="G165" s="32" t="s">
        <v>408</v>
      </c>
      <c r="H165" s="341"/>
      <c r="L165" s="257"/>
    </row>
    <row r="166" spans="1:12" s="7" customFormat="1" ht="11.25">
      <c r="A166" s="222"/>
      <c r="B166" s="223"/>
      <c r="C166" s="223"/>
      <c r="D166" s="223" t="s">
        <v>70</v>
      </c>
      <c r="E166" s="32" t="s">
        <v>306</v>
      </c>
      <c r="F166" s="337"/>
      <c r="G166" s="32" t="s">
        <v>409</v>
      </c>
      <c r="H166" s="341"/>
      <c r="L166" s="257"/>
    </row>
    <row r="167" spans="1:12" s="7" customFormat="1" ht="11.25">
      <c r="A167" s="222"/>
      <c r="B167" s="223"/>
      <c r="C167" s="223"/>
      <c r="D167" s="223" t="s">
        <v>2312</v>
      </c>
      <c r="E167" s="32" t="s">
        <v>307</v>
      </c>
      <c r="F167" s="337">
        <v>-413000</v>
      </c>
      <c r="G167" s="32" t="s">
        <v>410</v>
      </c>
      <c r="H167" s="341">
        <v>-332000</v>
      </c>
      <c r="I167" s="33"/>
      <c r="L167" s="257"/>
    </row>
    <row r="168" spans="1:12" s="7" customFormat="1" ht="11.25">
      <c r="A168" s="222"/>
      <c r="B168" s="223"/>
      <c r="C168" s="223"/>
      <c r="D168" s="223" t="s">
        <v>1445</v>
      </c>
      <c r="E168" s="32" t="s">
        <v>1447</v>
      </c>
      <c r="F168" s="337">
        <v>7000</v>
      </c>
      <c r="G168" s="32" t="s">
        <v>1449</v>
      </c>
      <c r="H168" s="341">
        <v>4000</v>
      </c>
      <c r="L168" s="257"/>
    </row>
    <row r="169" spans="1:12" s="7" customFormat="1" ht="11.25">
      <c r="A169" s="222"/>
      <c r="B169" s="223"/>
      <c r="C169" s="223"/>
      <c r="D169" s="223" t="s">
        <v>1446</v>
      </c>
      <c r="E169" s="32" t="s">
        <v>1448</v>
      </c>
      <c r="F169" s="337"/>
      <c r="G169" s="32" t="s">
        <v>1450</v>
      </c>
      <c r="H169" s="341"/>
      <c r="I169" s="33"/>
      <c r="L169" s="257"/>
    </row>
    <row r="170" spans="1:12" s="7" customFormat="1" ht="11.25">
      <c r="A170" s="260"/>
      <c r="B170" s="261"/>
      <c r="C170" s="261" t="s">
        <v>474</v>
      </c>
      <c r="D170" s="261"/>
      <c r="E170" s="24" t="s">
        <v>308</v>
      </c>
      <c r="F170" s="336">
        <v>13000</v>
      </c>
      <c r="G170" s="24" t="s">
        <v>411</v>
      </c>
      <c r="H170" s="339"/>
      <c r="I170" s="25"/>
      <c r="L170" s="257"/>
    </row>
    <row r="171" spans="1:12" s="7" customFormat="1" ht="11.25">
      <c r="A171" s="222"/>
      <c r="B171" s="223"/>
      <c r="C171" s="223"/>
      <c r="D171" s="223" t="s">
        <v>485</v>
      </c>
      <c r="E171" s="32" t="s">
        <v>309</v>
      </c>
      <c r="F171" s="337">
        <v>13000</v>
      </c>
      <c r="G171" s="32" t="s">
        <v>412</v>
      </c>
      <c r="H171" s="341"/>
      <c r="L171" s="257"/>
    </row>
    <row r="172" spans="1:12" s="7" customFormat="1" ht="11.25">
      <c r="A172" s="222"/>
      <c r="B172" s="223"/>
      <c r="C172" s="223"/>
      <c r="D172" s="223" t="s">
        <v>1707</v>
      </c>
      <c r="E172" s="32" t="s">
        <v>310</v>
      </c>
      <c r="F172" s="337"/>
      <c r="G172" s="32" t="s">
        <v>1541</v>
      </c>
      <c r="H172" s="341"/>
      <c r="L172" s="257"/>
    </row>
    <row r="173" spans="1:12" s="7" customFormat="1" ht="11.25">
      <c r="A173" s="260"/>
      <c r="B173" s="261"/>
      <c r="C173" s="261" t="s">
        <v>68</v>
      </c>
      <c r="D173" s="261"/>
      <c r="E173" s="24" t="s">
        <v>237</v>
      </c>
      <c r="F173" s="336"/>
      <c r="G173" s="24" t="s">
        <v>1542</v>
      </c>
      <c r="H173" s="339"/>
      <c r="I173" s="25"/>
      <c r="L173" s="257"/>
    </row>
    <row r="174" spans="1:12" s="7" customFormat="1" ht="11.25">
      <c r="A174" s="222"/>
      <c r="B174" s="223"/>
      <c r="C174" s="223"/>
      <c r="D174" s="223" t="s">
        <v>2314</v>
      </c>
      <c r="E174" s="32" t="s">
        <v>238</v>
      </c>
      <c r="F174" s="337"/>
      <c r="G174" s="32" t="s">
        <v>1543</v>
      </c>
      <c r="H174" s="341"/>
      <c r="I174" s="33"/>
      <c r="L174" s="257"/>
    </row>
    <row r="175" spans="1:12" s="7" customFormat="1" ht="11.25">
      <c r="A175" s="222"/>
      <c r="B175" s="223"/>
      <c r="C175" s="223"/>
      <c r="D175" s="223" t="s">
        <v>2313</v>
      </c>
      <c r="E175" s="32" t="s">
        <v>239</v>
      </c>
      <c r="F175" s="337"/>
      <c r="G175" s="32" t="s">
        <v>1544</v>
      </c>
      <c r="H175" s="342"/>
      <c r="I175" s="33"/>
      <c r="L175" s="257"/>
    </row>
    <row r="176" spans="1:8" ht="11.25">
      <c r="A176" s="546"/>
      <c r="B176" s="377"/>
      <c r="C176" s="377"/>
      <c r="D176" s="377"/>
      <c r="E176" s="375"/>
      <c r="F176" s="542"/>
      <c r="G176" s="375"/>
      <c r="H176" s="543"/>
    </row>
    <row r="177" spans="1:12" s="7" customFormat="1" ht="11.25">
      <c r="A177" s="29"/>
      <c r="B177" s="31" t="s">
        <v>973</v>
      </c>
      <c r="C177" s="261"/>
      <c r="D177" s="261"/>
      <c r="E177" s="24" t="s">
        <v>1136</v>
      </c>
      <c r="F177" s="336">
        <v>31000</v>
      </c>
      <c r="G177" s="24" t="s">
        <v>1545</v>
      </c>
      <c r="H177" s="340">
        <v>22000</v>
      </c>
      <c r="L177" s="257"/>
    </row>
    <row r="178" spans="1:12" s="7" customFormat="1" ht="11.25">
      <c r="A178" s="260"/>
      <c r="B178" s="31"/>
      <c r="C178" s="261" t="s">
        <v>491</v>
      </c>
      <c r="D178" s="261"/>
      <c r="E178" s="24" t="s">
        <v>311</v>
      </c>
      <c r="F178" s="336">
        <v>24000</v>
      </c>
      <c r="G178" s="24" t="s">
        <v>1546</v>
      </c>
      <c r="H178" s="339">
        <v>17000</v>
      </c>
      <c r="I178" s="25"/>
      <c r="L178" s="257"/>
    </row>
    <row r="179" spans="1:12" s="7" customFormat="1" ht="11.25">
      <c r="A179" s="222"/>
      <c r="B179" s="223"/>
      <c r="C179" s="223"/>
      <c r="D179" s="223" t="s">
        <v>496</v>
      </c>
      <c r="E179" s="32" t="s">
        <v>312</v>
      </c>
      <c r="F179" s="337">
        <v>24000</v>
      </c>
      <c r="G179" s="32" t="s">
        <v>1547</v>
      </c>
      <c r="H179" s="341">
        <v>17000</v>
      </c>
      <c r="L179" s="257"/>
    </row>
    <row r="180" spans="1:12" s="7" customFormat="1" ht="11.25">
      <c r="A180" s="222"/>
      <c r="B180" s="223"/>
      <c r="C180" s="223"/>
      <c r="D180" s="223" t="s">
        <v>1710</v>
      </c>
      <c r="E180" s="32" t="s">
        <v>313</v>
      </c>
      <c r="F180" s="337">
        <v>27000</v>
      </c>
      <c r="G180" s="32" t="s">
        <v>1548</v>
      </c>
      <c r="H180" s="341">
        <v>15000</v>
      </c>
      <c r="L180" s="257"/>
    </row>
    <row r="181" spans="1:12" s="7" customFormat="1" ht="11.25">
      <c r="A181" s="222"/>
      <c r="B181" s="223"/>
      <c r="C181" s="223"/>
      <c r="D181" s="223" t="s">
        <v>2437</v>
      </c>
      <c r="E181" s="32" t="s">
        <v>314</v>
      </c>
      <c r="F181" s="337"/>
      <c r="G181" s="32" t="s">
        <v>1549</v>
      </c>
      <c r="H181" s="341"/>
      <c r="L181" s="257"/>
    </row>
    <row r="182" spans="1:12" s="7" customFormat="1" ht="11.25">
      <c r="A182" s="222"/>
      <c r="B182" s="223"/>
      <c r="C182" s="223"/>
      <c r="D182" s="223" t="s">
        <v>2385</v>
      </c>
      <c r="E182" s="32" t="s">
        <v>315</v>
      </c>
      <c r="F182" s="337">
        <v>13041000</v>
      </c>
      <c r="G182" s="32" t="s">
        <v>1550</v>
      </c>
      <c r="H182" s="341">
        <v>13041000</v>
      </c>
      <c r="L182" s="257"/>
    </row>
    <row r="183" spans="1:12" s="7" customFormat="1" ht="11.25">
      <c r="A183" s="222"/>
      <c r="B183" s="223"/>
      <c r="C183" s="223"/>
      <c r="D183" s="223" t="s">
        <v>934</v>
      </c>
      <c r="E183" s="32" t="s">
        <v>316</v>
      </c>
      <c r="F183" s="337"/>
      <c r="G183" s="32" t="s">
        <v>1551</v>
      </c>
      <c r="H183" s="341"/>
      <c r="L183" s="257"/>
    </row>
    <row r="184" spans="1:12" s="7" customFormat="1" ht="11.25">
      <c r="A184" s="222"/>
      <c r="B184" s="223"/>
      <c r="C184" s="223"/>
      <c r="D184" s="223" t="s">
        <v>937</v>
      </c>
      <c r="E184" s="32" t="s">
        <v>1685</v>
      </c>
      <c r="F184" s="337"/>
      <c r="G184" s="32" t="s">
        <v>1686</v>
      </c>
      <c r="H184" s="341"/>
      <c r="L184" s="257"/>
    </row>
    <row r="185" spans="1:12" s="7" customFormat="1" ht="11.25">
      <c r="A185" s="222"/>
      <c r="B185" s="223"/>
      <c r="C185" s="223"/>
      <c r="D185" s="223" t="s">
        <v>935</v>
      </c>
      <c r="E185" s="32" t="s">
        <v>1687</v>
      </c>
      <c r="F185" s="337">
        <v>-13068000</v>
      </c>
      <c r="G185" s="32" t="s">
        <v>1688</v>
      </c>
      <c r="H185" s="341">
        <v>-13056000</v>
      </c>
      <c r="I185" s="33"/>
      <c r="L185" s="257"/>
    </row>
    <row r="186" spans="1:12" s="7" customFormat="1" ht="11.25">
      <c r="A186" s="222"/>
      <c r="B186" s="223"/>
      <c r="C186" s="223"/>
      <c r="D186" s="225" t="s">
        <v>936</v>
      </c>
      <c r="E186" s="35" t="s">
        <v>1940</v>
      </c>
      <c r="F186" s="338"/>
      <c r="G186" s="32" t="s">
        <v>938</v>
      </c>
      <c r="H186" s="342"/>
      <c r="L186" s="257"/>
    </row>
    <row r="187" spans="1:12" s="7" customFormat="1" ht="11.25">
      <c r="A187" s="260"/>
      <c r="B187" s="31"/>
      <c r="C187" s="261" t="s">
        <v>475</v>
      </c>
      <c r="D187" s="261"/>
      <c r="E187" s="24" t="s">
        <v>317</v>
      </c>
      <c r="F187" s="337">
        <v>7000</v>
      </c>
      <c r="G187" s="24" t="s">
        <v>1552</v>
      </c>
      <c r="H187" s="342">
        <v>5000</v>
      </c>
      <c r="L187" s="257"/>
    </row>
    <row r="188" spans="1:12" s="7" customFormat="1" ht="11.25">
      <c r="A188" s="29" t="s">
        <v>80</v>
      </c>
      <c r="B188" s="31"/>
      <c r="C188" s="31"/>
      <c r="D188" s="31"/>
      <c r="E188" s="24" t="s">
        <v>1951</v>
      </c>
      <c r="F188" s="336">
        <v>519000</v>
      </c>
      <c r="G188" s="24" t="s">
        <v>978</v>
      </c>
      <c r="H188" s="339">
        <v>3217000</v>
      </c>
      <c r="I188" s="25"/>
      <c r="L188" s="257"/>
    </row>
    <row r="189" spans="1:8" ht="11.25">
      <c r="A189" s="546"/>
      <c r="B189" s="377"/>
      <c r="C189" s="377"/>
      <c r="D189" s="377"/>
      <c r="E189" s="375"/>
      <c r="F189" s="542" t="s">
        <v>418</v>
      </c>
      <c r="G189" s="375"/>
      <c r="H189" s="543"/>
    </row>
    <row r="190" spans="1:12" s="33" customFormat="1" ht="11.25">
      <c r="A190" s="226"/>
      <c r="B190" s="262" t="s">
        <v>974</v>
      </c>
      <c r="C190" s="161"/>
      <c r="D190" s="161"/>
      <c r="E190" s="32" t="s">
        <v>1962</v>
      </c>
      <c r="F190" s="337"/>
      <c r="G190" s="32" t="s">
        <v>979</v>
      </c>
      <c r="H190" s="339"/>
      <c r="L190" s="259"/>
    </row>
    <row r="191" spans="1:8" ht="11.25">
      <c r="A191" s="546"/>
      <c r="B191" s="377"/>
      <c r="C191" s="377"/>
      <c r="D191" s="377"/>
      <c r="E191" s="375"/>
      <c r="F191" s="542"/>
      <c r="G191" s="375"/>
      <c r="H191" s="543"/>
    </row>
    <row r="192" spans="1:12" s="33" customFormat="1" ht="11.25">
      <c r="A192" s="226"/>
      <c r="B192" s="262" t="s">
        <v>975</v>
      </c>
      <c r="C192" s="161"/>
      <c r="D192" s="161"/>
      <c r="E192" s="32" t="s">
        <v>1611</v>
      </c>
      <c r="F192" s="337">
        <v>655000</v>
      </c>
      <c r="G192" s="32" t="s">
        <v>980</v>
      </c>
      <c r="H192" s="339">
        <v>3431000</v>
      </c>
      <c r="L192" s="259"/>
    </row>
    <row r="193" spans="1:8" ht="11.25">
      <c r="A193" s="546"/>
      <c r="B193" s="377"/>
      <c r="C193" s="377"/>
      <c r="D193" s="377"/>
      <c r="E193" s="375"/>
      <c r="F193" s="542"/>
      <c r="G193" s="375"/>
      <c r="H193" s="543"/>
    </row>
    <row r="194" spans="1:12" s="33" customFormat="1" ht="11.25">
      <c r="A194" s="226"/>
      <c r="B194" s="262" t="s">
        <v>976</v>
      </c>
      <c r="C194" s="161"/>
      <c r="D194" s="161"/>
      <c r="E194" s="32" t="s">
        <v>1980</v>
      </c>
      <c r="F194" s="337"/>
      <c r="G194" s="32" t="s">
        <v>981</v>
      </c>
      <c r="H194" s="339"/>
      <c r="L194" s="259"/>
    </row>
    <row r="195" spans="1:8" ht="11.25">
      <c r="A195" s="546"/>
      <c r="B195" s="377"/>
      <c r="C195" s="377"/>
      <c r="D195" s="377"/>
      <c r="E195" s="375"/>
      <c r="F195" s="542"/>
      <c r="G195" s="375"/>
      <c r="H195" s="543"/>
    </row>
    <row r="196" spans="1:12" s="33" customFormat="1" ht="11.25">
      <c r="A196" s="226"/>
      <c r="B196" s="262" t="s">
        <v>977</v>
      </c>
      <c r="C196" s="161"/>
      <c r="D196" s="161"/>
      <c r="E196" s="32" t="s">
        <v>1990</v>
      </c>
      <c r="F196" s="337">
        <v>-136000</v>
      </c>
      <c r="G196" s="32" t="s">
        <v>982</v>
      </c>
      <c r="H196" s="339">
        <v>-214000</v>
      </c>
      <c r="L196" s="259"/>
    </row>
    <row r="197" spans="1:8" ht="11.25">
      <c r="A197" s="546"/>
      <c r="B197" s="377"/>
      <c r="C197" s="377"/>
      <c r="D197" s="377"/>
      <c r="E197" s="375"/>
      <c r="F197" s="542"/>
      <c r="G197" s="375"/>
      <c r="H197" s="543"/>
    </row>
    <row r="198" spans="1:12" s="41" customFormat="1" ht="11.25">
      <c r="A198" s="29" t="s">
        <v>472</v>
      </c>
      <c r="B198" s="31"/>
      <c r="C198" s="31"/>
      <c r="D198" s="31"/>
      <c r="E198" s="24" t="s">
        <v>1137</v>
      </c>
      <c r="F198" s="450">
        <v>422318000</v>
      </c>
      <c r="G198" s="24" t="s">
        <v>1553</v>
      </c>
      <c r="H198" s="451">
        <v>530490000</v>
      </c>
      <c r="I198" s="25"/>
      <c r="L198" s="258"/>
    </row>
    <row r="199" spans="6:8" ht="11.25">
      <c r="F199" s="334"/>
      <c r="H199" s="683"/>
    </row>
    <row r="200" spans="1:6" ht="11.25">
      <c r="A200" s="44"/>
      <c r="F200" s="334"/>
    </row>
    <row r="201" spans="1:4" ht="11.25">
      <c r="A201" s="33"/>
      <c r="D201" s="2" t="s">
        <v>2476</v>
      </c>
    </row>
    <row r="202" ht="11.25">
      <c r="A202" s="33"/>
    </row>
  </sheetData>
  <sheetProtection password="CE28" sheet="1" objects="1" scenarios="1"/>
  <mergeCells count="10">
    <mergeCell ref="A1:H1"/>
    <mergeCell ref="D4:H4"/>
    <mergeCell ref="A120:H120"/>
    <mergeCell ref="A12:H12"/>
    <mergeCell ref="A7:C7"/>
    <mergeCell ref="A8:C8"/>
    <mergeCell ref="D5:H5"/>
    <mergeCell ref="D6:H6"/>
    <mergeCell ref="D7:H7"/>
    <mergeCell ref="D8:H8"/>
  </mergeCells>
  <conditionalFormatting sqref="F178">
    <cfRule type="expression" priority="1" dxfId="0" stopIfTrue="1">
      <formula>NOT(M62)</formula>
    </cfRule>
  </conditionalFormatting>
  <conditionalFormatting sqref="H178">
    <cfRule type="expression" priority="2" dxfId="0" stopIfTrue="1">
      <formula>NOT(M63)</formula>
    </cfRule>
  </conditionalFormatting>
  <conditionalFormatting sqref="F190">
    <cfRule type="expression" priority="3" dxfId="0" stopIfTrue="1">
      <formula>NOT(M4)</formula>
    </cfRule>
  </conditionalFormatting>
  <conditionalFormatting sqref="F192">
    <cfRule type="expression" priority="4" dxfId="0" stopIfTrue="1">
      <formula>NOT(M5)</formula>
    </cfRule>
  </conditionalFormatting>
  <conditionalFormatting sqref="F25">
    <cfRule type="expression" priority="5" dxfId="0" stopIfTrue="1">
      <formula>NOT(M6)</formula>
    </cfRule>
  </conditionalFormatting>
  <conditionalFormatting sqref="H25">
    <cfRule type="expression" priority="6" dxfId="0" stopIfTrue="1">
      <formula>NOT(M7)</formula>
    </cfRule>
  </conditionalFormatting>
  <conditionalFormatting sqref="F49">
    <cfRule type="expression" priority="7" dxfId="0" stopIfTrue="1">
      <formula>NOT(M8)</formula>
    </cfRule>
  </conditionalFormatting>
  <conditionalFormatting sqref="H49">
    <cfRule type="expression" priority="8" dxfId="0" stopIfTrue="1">
      <formula>NOT(M9)</formula>
    </cfRule>
  </conditionalFormatting>
  <conditionalFormatting sqref="F17">
    <cfRule type="expression" priority="9" dxfId="0" stopIfTrue="1">
      <formula>NOT(M10)</formula>
    </cfRule>
  </conditionalFormatting>
  <conditionalFormatting sqref="H17">
    <cfRule type="expression" priority="10" dxfId="0" stopIfTrue="1">
      <formula>NOT(M11)</formula>
    </cfRule>
  </conditionalFormatting>
  <conditionalFormatting sqref="F28">
    <cfRule type="expression" priority="11" dxfId="0" stopIfTrue="1">
      <formula>NOT(M11)</formula>
    </cfRule>
  </conditionalFormatting>
  <conditionalFormatting sqref="H28">
    <cfRule type="expression" priority="12" dxfId="0" stopIfTrue="1">
      <formula>NOT(M13)</formula>
    </cfRule>
  </conditionalFormatting>
  <conditionalFormatting sqref="F52">
    <cfRule type="expression" priority="13" dxfId="0" stopIfTrue="1">
      <formula>NOT(M14)</formula>
    </cfRule>
  </conditionalFormatting>
  <conditionalFormatting sqref="H52">
    <cfRule type="expression" priority="14" dxfId="0" stopIfTrue="1">
      <formula>NOT(M15)</formula>
    </cfRule>
  </conditionalFormatting>
  <conditionalFormatting sqref="F55">
    <cfRule type="expression" priority="15" dxfId="0" stopIfTrue="1">
      <formula>NOT(M16)</formula>
    </cfRule>
  </conditionalFormatting>
  <conditionalFormatting sqref="H55">
    <cfRule type="expression" priority="16" dxfId="0" stopIfTrue="1">
      <formula>NOT(M17)</formula>
    </cfRule>
  </conditionalFormatting>
  <conditionalFormatting sqref="F16">
    <cfRule type="expression" priority="17" dxfId="0" stopIfTrue="1">
      <formula>NOT(M18)</formula>
    </cfRule>
  </conditionalFormatting>
  <conditionalFormatting sqref="H16">
    <cfRule type="expression" priority="18" dxfId="0" stopIfTrue="1">
      <formula>NOT(M19)</formula>
    </cfRule>
  </conditionalFormatting>
  <conditionalFormatting sqref="F14">
    <cfRule type="cellIs" priority="19" dxfId="0" operator="notEqual" stopIfTrue="1">
      <formula>$H$14</formula>
    </cfRule>
    <cfRule type="expression" priority="20" dxfId="0" stopIfTrue="1">
      <formula>NOT(M20)</formula>
    </cfRule>
  </conditionalFormatting>
  <conditionalFormatting sqref="H14">
    <cfRule type="expression" priority="21" dxfId="0" stopIfTrue="1">
      <formula>NOT(M21)</formula>
    </cfRule>
  </conditionalFormatting>
  <conditionalFormatting sqref="F68">
    <cfRule type="expression" priority="22" dxfId="0" stopIfTrue="1">
      <formula>NOT(M22)</formula>
    </cfRule>
  </conditionalFormatting>
  <conditionalFormatting sqref="H68">
    <cfRule type="expression" priority="23" dxfId="0" stopIfTrue="1">
      <formula>NOT(M23)</formula>
    </cfRule>
  </conditionalFormatting>
  <conditionalFormatting sqref="F79">
    <cfRule type="expression" priority="24" dxfId="0" stopIfTrue="1">
      <formula>NOT(M24)</formula>
    </cfRule>
  </conditionalFormatting>
  <conditionalFormatting sqref="H79">
    <cfRule type="expression" priority="25" dxfId="0" stopIfTrue="1">
      <formula>NOT(M25)</formula>
    </cfRule>
  </conditionalFormatting>
  <conditionalFormatting sqref="F103">
    <cfRule type="expression" priority="26" dxfId="0" stopIfTrue="1">
      <formula>NOT(M26)</formula>
    </cfRule>
  </conditionalFormatting>
  <conditionalFormatting sqref="H103">
    <cfRule type="expression" priority="27" dxfId="0" stopIfTrue="1">
      <formula>NOT(M27)</formula>
    </cfRule>
  </conditionalFormatting>
  <conditionalFormatting sqref="F106 F110 F126">
    <cfRule type="expression" priority="28" dxfId="0" stopIfTrue="1">
      <formula>NOT(M28)</formula>
    </cfRule>
  </conditionalFormatting>
  <conditionalFormatting sqref="H106 H110 H126">
    <cfRule type="expression" priority="29" dxfId="0" stopIfTrue="1">
      <formula>NOT(M29)</formula>
    </cfRule>
  </conditionalFormatting>
  <conditionalFormatting sqref="F66">
    <cfRule type="expression" priority="30" dxfId="0" stopIfTrue="1">
      <formula>NOT(M30)</formula>
    </cfRule>
  </conditionalFormatting>
  <conditionalFormatting sqref="H66">
    <cfRule type="expression" priority="31" dxfId="0" stopIfTrue="1">
      <formula>NOT(M31)</formula>
    </cfRule>
  </conditionalFormatting>
  <conditionalFormatting sqref="F114">
    <cfRule type="expression" priority="32" dxfId="0" stopIfTrue="1">
      <formula>NOT(M34)</formula>
    </cfRule>
  </conditionalFormatting>
  <conditionalFormatting sqref="H114">
    <cfRule type="expression" priority="33" dxfId="0" stopIfTrue="1">
      <formula>NOT(M35)</formula>
    </cfRule>
  </conditionalFormatting>
  <conditionalFormatting sqref="F62">
    <cfRule type="expression" priority="34" dxfId="0" stopIfTrue="1">
      <formula>NOT(M36)</formula>
    </cfRule>
  </conditionalFormatting>
  <conditionalFormatting sqref="H62">
    <cfRule type="expression" priority="35" dxfId="0" stopIfTrue="1">
      <formula>NOT(M37)</formula>
    </cfRule>
  </conditionalFormatting>
  <conditionalFormatting sqref="F118">
    <cfRule type="expression" priority="36" dxfId="0" stopIfTrue="1">
      <formula>NOT(M2)</formula>
    </cfRule>
    <cfRule type="expression" priority="37" dxfId="0" stopIfTrue="1">
      <formula>NOT(M38)</formula>
    </cfRule>
  </conditionalFormatting>
  <conditionalFormatting sqref="H118">
    <cfRule type="expression" priority="38" dxfId="0" stopIfTrue="1">
      <formula>NOT(M3)</formula>
    </cfRule>
    <cfRule type="expression" priority="39" dxfId="0" stopIfTrue="1">
      <formula>NOT(M39)</formula>
    </cfRule>
  </conditionalFormatting>
  <conditionalFormatting sqref="F127">
    <cfRule type="expression" priority="40" dxfId="0" stopIfTrue="1">
      <formula>NOT(M40)</formula>
    </cfRule>
  </conditionalFormatting>
  <conditionalFormatting sqref="H127">
    <cfRule type="expression" priority="41" dxfId="0" stopIfTrue="1">
      <formula>NOT(M41)</formula>
    </cfRule>
  </conditionalFormatting>
  <conditionalFormatting sqref="F133">
    <cfRule type="expression" priority="42" dxfId="0" stopIfTrue="1">
      <formula>NOT(M42)</formula>
    </cfRule>
  </conditionalFormatting>
  <conditionalFormatting sqref="H133">
    <cfRule type="expression" priority="43" dxfId="0" stopIfTrue="1">
      <formula>NOT(M43)</formula>
    </cfRule>
  </conditionalFormatting>
  <conditionalFormatting sqref="F140">
    <cfRule type="expression" priority="44" dxfId="0" stopIfTrue="1">
      <formula>NOT(M44)</formula>
    </cfRule>
  </conditionalFormatting>
  <conditionalFormatting sqref="H140">
    <cfRule type="expression" priority="45" dxfId="0" stopIfTrue="1">
      <formula>NOT(M45)</formula>
    </cfRule>
  </conditionalFormatting>
  <conditionalFormatting sqref="F143">
    <cfRule type="expression" priority="46" dxfId="0" stopIfTrue="1">
      <formula>NOT(M46)</formula>
    </cfRule>
  </conditionalFormatting>
  <conditionalFormatting sqref="H143">
    <cfRule type="expression" priority="47" dxfId="0" stopIfTrue="1">
      <formula>NOT(M47)</formula>
    </cfRule>
  </conditionalFormatting>
  <conditionalFormatting sqref="F122">
    <cfRule type="expression" priority="48" dxfId="0" stopIfTrue="1">
      <formula>NOT(M50)</formula>
    </cfRule>
  </conditionalFormatting>
  <conditionalFormatting sqref="H122">
    <cfRule type="expression" priority="49" dxfId="0" stopIfTrue="1">
      <formula>NOT(M51)</formula>
    </cfRule>
  </conditionalFormatting>
  <conditionalFormatting sqref="F157">
    <cfRule type="expression" priority="50" dxfId="0" stopIfTrue="1">
      <formula>NOT(M52)</formula>
    </cfRule>
  </conditionalFormatting>
  <conditionalFormatting sqref="H157">
    <cfRule type="expression" priority="51" dxfId="0" stopIfTrue="1">
      <formula>NOT(M53)</formula>
    </cfRule>
  </conditionalFormatting>
  <conditionalFormatting sqref="F163">
    <cfRule type="expression" priority="52" dxfId="0" stopIfTrue="1">
      <formula>NOT(M54)</formula>
    </cfRule>
  </conditionalFormatting>
  <conditionalFormatting sqref="H163">
    <cfRule type="expression" priority="53" dxfId="0" stopIfTrue="1">
      <formula>NOT(M55)</formula>
    </cfRule>
  </conditionalFormatting>
  <conditionalFormatting sqref="F170">
    <cfRule type="expression" priority="54" dxfId="0" stopIfTrue="1">
      <formula>NOT(M56)</formula>
    </cfRule>
  </conditionalFormatting>
  <conditionalFormatting sqref="H170">
    <cfRule type="expression" priority="55" dxfId="0" stopIfTrue="1">
      <formula>NOT(M57)</formula>
    </cfRule>
  </conditionalFormatting>
  <conditionalFormatting sqref="F173">
    <cfRule type="expression" priority="56" dxfId="0" stopIfTrue="1">
      <formula>NOT(M58)</formula>
    </cfRule>
  </conditionalFormatting>
  <conditionalFormatting sqref="H173">
    <cfRule type="expression" priority="57" dxfId="0" stopIfTrue="1">
      <formula>NOT(M59)</formula>
    </cfRule>
  </conditionalFormatting>
  <conditionalFormatting sqref="F155">
    <cfRule type="expression" priority="58" dxfId="0" stopIfTrue="1">
      <formula>NOT(M60)</formula>
    </cfRule>
  </conditionalFormatting>
  <conditionalFormatting sqref="H155">
    <cfRule type="expression" priority="59" dxfId="0" stopIfTrue="1">
      <formula>NOT(M61)</formula>
    </cfRule>
  </conditionalFormatting>
  <conditionalFormatting sqref="F149">
    <cfRule type="expression" priority="60" dxfId="0" stopIfTrue="1">
      <formula>NOT(M64)</formula>
    </cfRule>
  </conditionalFormatting>
  <conditionalFormatting sqref="H149">
    <cfRule type="expression" priority="61" dxfId="0" stopIfTrue="1">
      <formula>NOT(M65)</formula>
    </cfRule>
  </conditionalFormatting>
  <conditionalFormatting sqref="F188">
    <cfRule type="expression" priority="62" dxfId="0" stopIfTrue="1">
      <formula>NOT(M66)</formula>
    </cfRule>
  </conditionalFormatting>
  <conditionalFormatting sqref="H188">
    <cfRule type="expression" priority="63" dxfId="0" stopIfTrue="1">
      <formula>NOT(M67)</formula>
    </cfRule>
  </conditionalFormatting>
  <conditionalFormatting sqref="F198">
    <cfRule type="expression" priority="64" dxfId="0" stopIfTrue="1">
      <formula>NOT(M2)</formula>
    </cfRule>
    <cfRule type="expression" priority="65" dxfId="0" stopIfTrue="1">
      <formula>NOT(M68)</formula>
    </cfRule>
  </conditionalFormatting>
  <conditionalFormatting sqref="H198">
    <cfRule type="expression" priority="66" dxfId="0" stopIfTrue="1">
      <formula>NOT(M3)</formula>
    </cfRule>
    <cfRule type="expression" priority="67" dxfId="0" stopIfTrue="1">
      <formula>NOT(M69)</formula>
    </cfRule>
  </conditionalFormatting>
  <conditionalFormatting sqref="M2:M69">
    <cfRule type="cellIs" priority="68" dxfId="0" operator="equal" stopIfTrue="1">
      <formula>FALSE</formula>
    </cfRule>
  </conditionalFormatting>
  <dataValidations count="1">
    <dataValidation type="whole" operator="lessThanOrEqual" allowBlank="1" showInputMessage="1" showErrorMessage="1" errorTitle="Celda de Tipo Numérico Entero" sqref="F14 F16:F57 F59 F61:F62 F64 F66:F108 F110:F112 F114:F116 F118 F122 F124 F126:F145 F147 F149 F151 F153 F155:F175 F177:F188 F190 F192 F194 F196 F198 H198 H196 H194 H192 H190 H177:H188 H14 H16:H57 H59 H61:H62 H64 H66:H108 H110:H112 H114:H116 H118 H122 H124 H126:H145 H147 H149 H151 H153 H155:H175">
      <formula1>9.99999999999999E+40</formula1>
    </dataValidation>
  </dataValidations>
  <printOptions horizontalCentered="1"/>
  <pageMargins left="0.3937007874015748" right="0.3937007874015748" top="0.5905511811023623" bottom="0.5905511811023623" header="0" footer="0.3937007874015748"/>
  <pageSetup fitToHeight="100" horizontalDpi="600" verticalDpi="600" orientation="portrait" paperSize="9" scale="62" r:id="rId2"/>
  <rowBreaks count="2" manualBreakCount="2">
    <brk id="61" max="9" man="1"/>
    <brk id="119" max="9" man="1"/>
  </rowBreaks>
  <legacyDrawing r:id="rId1"/>
</worksheet>
</file>

<file path=xl/worksheets/sheet3.xml><?xml version="1.0" encoding="utf-8"?>
<worksheet xmlns="http://schemas.openxmlformats.org/spreadsheetml/2006/main" xmlns:r="http://schemas.openxmlformats.org/officeDocument/2006/relationships">
  <sheetPr codeName="Hoja2"/>
  <dimension ref="A1:P114"/>
  <sheetViews>
    <sheetView zoomScale="90" zoomScaleNormal="90" zoomScaleSheetLayoutView="100" workbookViewId="0" topLeftCell="A27">
      <selection activeCell="K66" sqref="K66"/>
    </sheetView>
  </sheetViews>
  <sheetFormatPr defaultColWidth="11.421875" defaultRowHeight="12.75"/>
  <cols>
    <col min="1" max="1" width="11.28125" style="2" customWidth="1"/>
    <col min="2" max="2" width="12.28125" style="17" customWidth="1"/>
    <col min="3" max="3" width="33.140625" style="17" customWidth="1"/>
    <col min="4" max="4" width="5.140625" style="36" customWidth="1"/>
    <col min="5" max="5" width="19.140625" style="17" customWidth="1"/>
    <col min="6" max="6" width="5.140625" style="36" customWidth="1"/>
    <col min="7" max="7" width="19.140625" style="17" customWidth="1"/>
    <col min="8" max="8" width="5.00390625" style="36" customWidth="1"/>
    <col min="9" max="9" width="19.140625" style="17" customWidth="1"/>
    <col min="10" max="10" width="5.140625" style="36" customWidth="1"/>
    <col min="11" max="11" width="19.28125" style="17" customWidth="1"/>
    <col min="12" max="12" width="9.140625" style="2" customWidth="1"/>
    <col min="13" max="13" width="3.8515625" style="2" hidden="1" customWidth="1"/>
    <col min="14" max="14" width="97.8515625" style="39" hidden="1" customWidth="1"/>
    <col min="15" max="15" width="12.421875" style="2" hidden="1" customWidth="1"/>
    <col min="16" max="16" width="9.140625" style="2" hidden="1" customWidth="1"/>
    <col min="17" max="16384" width="9.140625" style="2" customWidth="1"/>
  </cols>
  <sheetData>
    <row r="1" spans="1:15" ht="40.5" customHeight="1">
      <c r="A1" s="720" t="s">
        <v>897</v>
      </c>
      <c r="B1" s="720"/>
      <c r="C1" s="720"/>
      <c r="D1" s="720"/>
      <c r="E1" s="720"/>
      <c r="F1" s="720"/>
      <c r="G1" s="720"/>
      <c r="H1" s="720"/>
      <c r="I1" s="496"/>
      <c r="J1" s="497"/>
      <c r="K1" s="498"/>
      <c r="N1" s="10" t="s">
        <v>1391</v>
      </c>
      <c r="O1" s="10" t="s">
        <v>1392</v>
      </c>
    </row>
    <row r="2" spans="1:16" ht="11.25">
      <c r="A2" s="228"/>
      <c r="B2" s="23"/>
      <c r="C2" s="157"/>
      <c r="D2" s="42"/>
      <c r="E2" s="157"/>
      <c r="F2" s="42"/>
      <c r="G2" s="157"/>
      <c r="H2" s="42"/>
      <c r="I2" s="157"/>
      <c r="J2" s="42"/>
      <c r="K2" s="229" t="s">
        <v>478</v>
      </c>
      <c r="N2" s="11" t="s">
        <v>2144</v>
      </c>
      <c r="O2" s="12" t="b">
        <f>IF(NOT(ISBLANK(s020.02200)),IF(s020.02200&lt;0,TRUE,FALSE),TRUE)</f>
        <v>1</v>
      </c>
      <c r="P2" s="2" t="s">
        <v>417</v>
      </c>
    </row>
    <row r="3" spans="1:16" ht="11.25">
      <c r="A3" s="26"/>
      <c r="B3" s="27"/>
      <c r="C3" s="27"/>
      <c r="D3" s="48"/>
      <c r="E3" s="27"/>
      <c r="F3" s="48"/>
      <c r="G3" s="27"/>
      <c r="H3" s="48"/>
      <c r="I3" s="16"/>
      <c r="J3" s="48"/>
      <c r="K3" s="200"/>
      <c r="N3" s="11" t="s">
        <v>2145</v>
      </c>
      <c r="O3" s="12" t="b">
        <f>IF(NOT(ISBLANK(s020.03200)),IF(s020.03200&lt;0,TRUE,FALSE),TRUE)</f>
        <v>1</v>
      </c>
      <c r="P3" s="2" t="s">
        <v>417</v>
      </c>
    </row>
    <row r="4" spans="1:16" ht="11.25">
      <c r="A4" s="236" t="s">
        <v>1588</v>
      </c>
      <c r="B4" s="237"/>
      <c r="C4" s="725" t="str">
        <f>IF(ISBLANK(s000.00100),"",s000.00100)</f>
        <v>F.T.A. SANTANDER FINANCIACION 3</v>
      </c>
      <c r="D4" s="718"/>
      <c r="E4" s="718"/>
      <c r="F4" s="718"/>
      <c r="G4" s="718"/>
      <c r="H4" s="718"/>
      <c r="I4" s="718"/>
      <c r="J4" s="718"/>
      <c r="K4" s="719"/>
      <c r="N4" s="11" t="s">
        <v>2146</v>
      </c>
      <c r="O4" s="12" t="b">
        <f>IF(NOT(ISBLANK(s020.02210)),IF(s020.02210&lt;0,TRUE,FALSE),TRUE)</f>
        <v>1</v>
      </c>
      <c r="P4" s="2" t="s">
        <v>417</v>
      </c>
    </row>
    <row r="5" spans="1:16" ht="11.25">
      <c r="A5" s="236" t="s">
        <v>1589</v>
      </c>
      <c r="B5" s="237"/>
      <c r="C5" s="725">
        <f>IF(ISBLANK(s000.00130),"",s000.00130)</f>
      </c>
      <c r="D5" s="718"/>
      <c r="E5" s="718"/>
      <c r="F5" s="718"/>
      <c r="G5" s="718"/>
      <c r="H5" s="718"/>
      <c r="I5" s="718"/>
      <c r="J5" s="718"/>
      <c r="K5" s="719"/>
      <c r="N5" s="11" t="s">
        <v>2147</v>
      </c>
      <c r="O5" s="12" t="b">
        <f>IF(NOT(ISBLANK(s020.03210)),IF(s020.03210&lt;0,TRUE,FALSE),TRUE)</f>
        <v>1</v>
      </c>
      <c r="P5" s="2" t="s">
        <v>417</v>
      </c>
    </row>
    <row r="6" spans="1:16" ht="11.25">
      <c r="A6" s="236" t="s">
        <v>1590</v>
      </c>
      <c r="B6" s="237"/>
      <c r="C6" s="725" t="str">
        <f>IF(ISBLANK(s000.00150),"",s000.00150)</f>
        <v>Santander de Titulizacion S.G.F.T., S.A</v>
      </c>
      <c r="D6" s="718"/>
      <c r="E6" s="718"/>
      <c r="F6" s="718"/>
      <c r="G6" s="718"/>
      <c r="H6" s="718"/>
      <c r="I6" s="718"/>
      <c r="J6" s="718"/>
      <c r="K6" s="719"/>
      <c r="N6" s="11" t="s">
        <v>2148</v>
      </c>
      <c r="O6" s="12" t="b">
        <f>IF(NOT(ISBLANK(s020.02220)),IF(s020.02220&lt;0,TRUE,FALSE),TRUE)</f>
        <v>1</v>
      </c>
      <c r="P6" s="2" t="s">
        <v>417</v>
      </c>
    </row>
    <row r="7" spans="1:16" ht="11.25">
      <c r="A7" s="236" t="s">
        <v>2233</v>
      </c>
      <c r="B7" s="237"/>
      <c r="C7" s="725" t="str">
        <f>IF(ISBLANK(s000.00170),"",s000.00170)</f>
        <v>No</v>
      </c>
      <c r="D7" s="718"/>
      <c r="E7" s="718"/>
      <c r="F7" s="718"/>
      <c r="G7" s="718"/>
      <c r="H7" s="718"/>
      <c r="I7" s="718"/>
      <c r="J7" s="718"/>
      <c r="K7" s="719"/>
      <c r="N7" s="11" t="s">
        <v>2149</v>
      </c>
      <c r="O7" s="12" t="b">
        <f>IF(NOT(ISBLANK(s020.03220)),IF(s020.03220&lt;0,TRUE,FALSE),TRUE)</f>
        <v>1</v>
      </c>
      <c r="P7" s="2" t="s">
        <v>417</v>
      </c>
    </row>
    <row r="8" spans="1:16" ht="11.25">
      <c r="A8" s="721" t="s">
        <v>2232</v>
      </c>
      <c r="B8" s="722"/>
      <c r="C8" s="725" t="str">
        <f>IF(ISBLANK(s000.00180),"",s000.00180)</f>
        <v>Primer Semestre</v>
      </c>
      <c r="D8" s="718"/>
      <c r="E8" s="718"/>
      <c r="F8" s="718"/>
      <c r="G8" s="718"/>
      <c r="H8" s="718"/>
      <c r="I8" s="718"/>
      <c r="J8" s="718"/>
      <c r="K8" s="719"/>
      <c r="N8" s="11" t="s">
        <v>2150</v>
      </c>
      <c r="O8" s="12" t="b">
        <f>IF(NOT(ISBLANK(s020.02230)),IF(s020.02230&lt;0,TRUE,FALSE),TRUE)</f>
        <v>1</v>
      </c>
      <c r="P8" s="2" t="s">
        <v>417</v>
      </c>
    </row>
    <row r="9" spans="1:16" ht="11.25">
      <c r="A9" s="26"/>
      <c r="B9" s="27"/>
      <c r="C9" s="27"/>
      <c r="D9" s="48"/>
      <c r="E9" s="27"/>
      <c r="F9" s="48"/>
      <c r="G9" s="27"/>
      <c r="H9" s="48"/>
      <c r="I9" s="18"/>
      <c r="J9" s="48"/>
      <c r="K9" s="200"/>
      <c r="N9" s="11" t="s">
        <v>2151</v>
      </c>
      <c r="O9" s="12" t="b">
        <f>IF(NOT(ISBLANK(s020.03230)),IF(s020.03230&lt;0,TRUE,FALSE),TRUE)</f>
        <v>1</v>
      </c>
      <c r="P9" s="2" t="s">
        <v>417</v>
      </c>
    </row>
    <row r="10" spans="1:16" ht="22.5">
      <c r="A10" s="22" t="s">
        <v>581</v>
      </c>
      <c r="B10" s="23"/>
      <c r="C10" s="23"/>
      <c r="D10" s="4"/>
      <c r="E10" s="201" t="s">
        <v>2380</v>
      </c>
      <c r="F10" s="4"/>
      <c r="G10" s="201" t="s">
        <v>2381</v>
      </c>
      <c r="H10" s="4"/>
      <c r="I10" s="201" t="s">
        <v>1592</v>
      </c>
      <c r="J10" s="4"/>
      <c r="K10" s="201" t="s">
        <v>1593</v>
      </c>
      <c r="L10" s="21"/>
      <c r="N10" s="11" t="s">
        <v>2152</v>
      </c>
      <c r="O10" s="12" t="b">
        <f>IF(NOT(ISBLANK(s020.02610)),IF(s020.02610&lt;0,TRUE,FALSE),TRUE)</f>
        <v>1</v>
      </c>
      <c r="P10" s="2" t="s">
        <v>417</v>
      </c>
    </row>
    <row r="11" spans="1:16" ht="11.25">
      <c r="A11" s="461"/>
      <c r="B11" s="458"/>
      <c r="C11" s="458"/>
      <c r="D11" s="459"/>
      <c r="E11" s="458"/>
      <c r="F11" s="459"/>
      <c r="G11" s="458"/>
      <c r="H11" s="459"/>
      <c r="I11" s="458"/>
      <c r="J11" s="459"/>
      <c r="K11" s="462"/>
      <c r="N11" s="11" t="s">
        <v>2153</v>
      </c>
      <c r="O11" s="12" t="b">
        <f>IF(NOT(ISBLANK(s020.03610)),IF(s020.03610&lt;0,TRUE,FALSE),TRUE)</f>
        <v>1</v>
      </c>
      <c r="P11" s="2" t="s">
        <v>417</v>
      </c>
    </row>
    <row r="12" spans="1:16" ht="11.25">
      <c r="A12" s="29" t="s">
        <v>498</v>
      </c>
      <c r="B12" s="31"/>
      <c r="C12" s="31"/>
      <c r="D12" s="4" t="s">
        <v>931</v>
      </c>
      <c r="E12" s="450"/>
      <c r="F12" s="389">
        <f>1000+D12</f>
        <v>1100</v>
      </c>
      <c r="G12" s="450"/>
      <c r="H12" s="389">
        <f>1000+F12</f>
        <v>2100</v>
      </c>
      <c r="I12" s="450">
        <v>10355000</v>
      </c>
      <c r="J12" s="389">
        <f>1000+H12</f>
        <v>3100</v>
      </c>
      <c r="K12" s="451">
        <v>38520000</v>
      </c>
      <c r="L12" s="25"/>
      <c r="N12" s="11" t="s">
        <v>2154</v>
      </c>
      <c r="O12" s="12" t="b">
        <f>IF(NOT(ISBLANK(s020.02611)),IF(s020.02611&lt;0,TRUE,FALSE),TRUE)</f>
        <v>1</v>
      </c>
      <c r="P12" s="2" t="s">
        <v>417</v>
      </c>
    </row>
    <row r="13" spans="1:16" s="7" customFormat="1" ht="11.25">
      <c r="A13" s="222"/>
      <c r="B13" s="223" t="s">
        <v>1705</v>
      </c>
      <c r="C13" s="223"/>
      <c r="D13" s="32" t="s">
        <v>1603</v>
      </c>
      <c r="E13" s="452"/>
      <c r="F13" s="32">
        <f aca="true" t="shared" si="0" ref="F13:F63">1000+D13</f>
        <v>1110</v>
      </c>
      <c r="G13" s="452"/>
      <c r="H13" s="32">
        <f>1000+F13</f>
        <v>2110</v>
      </c>
      <c r="I13" s="337"/>
      <c r="J13" s="32">
        <f aca="true" t="shared" si="1" ref="J13:J65">1000+H13</f>
        <v>3110</v>
      </c>
      <c r="K13" s="341"/>
      <c r="N13" s="11" t="s">
        <v>2155</v>
      </c>
      <c r="O13" s="12" t="b">
        <f>IF(NOT(ISBLANK(s020.03611)),IF(s020.03611&lt;0,TRUE,FALSE),TRUE)</f>
        <v>1</v>
      </c>
      <c r="P13" s="7" t="s">
        <v>417</v>
      </c>
    </row>
    <row r="14" spans="1:16" s="7" customFormat="1" ht="11.25">
      <c r="A14" s="222"/>
      <c r="B14" s="223" t="s">
        <v>1706</v>
      </c>
      <c r="C14" s="223"/>
      <c r="D14" s="32" t="s">
        <v>1604</v>
      </c>
      <c r="E14" s="452"/>
      <c r="F14" s="32">
        <f t="shared" si="0"/>
        <v>1120</v>
      </c>
      <c r="G14" s="452"/>
      <c r="H14" s="32">
        <f>1000+F14</f>
        <v>2120</v>
      </c>
      <c r="I14" s="337">
        <v>12670000</v>
      </c>
      <c r="J14" s="32">
        <f t="shared" si="1"/>
        <v>3120</v>
      </c>
      <c r="K14" s="341">
        <v>44744000</v>
      </c>
      <c r="N14" s="11" t="s">
        <v>2156</v>
      </c>
      <c r="O14" s="12" t="b">
        <f>IF(NOT(ISBLANK(s020.02612)),IF(s020.02612&lt;0,TRUE,FALSE),TRUE)</f>
        <v>1</v>
      </c>
      <c r="P14" s="7" t="s">
        <v>417</v>
      </c>
    </row>
    <row r="15" spans="1:16" s="7" customFormat="1" ht="11.25">
      <c r="A15" s="222"/>
      <c r="B15" s="223" t="s">
        <v>44</v>
      </c>
      <c r="C15" s="223"/>
      <c r="D15" s="35" t="s">
        <v>1605</v>
      </c>
      <c r="E15" s="452"/>
      <c r="F15" s="35">
        <f t="shared" si="0"/>
        <v>1130</v>
      </c>
      <c r="G15" s="452"/>
      <c r="H15" s="35">
        <f>1000+F15</f>
        <v>2130</v>
      </c>
      <c r="I15" s="337">
        <v>-2315000</v>
      </c>
      <c r="J15" s="35">
        <f t="shared" si="1"/>
        <v>3130</v>
      </c>
      <c r="K15" s="342">
        <v>-6224000</v>
      </c>
      <c r="N15" s="11" t="s">
        <v>2157</v>
      </c>
      <c r="O15" s="12" t="b">
        <f>IF(NOT(ISBLANK(s020.03612)),IF(s020.03612&lt;0,TRUE,FALSE),TRUE)</f>
        <v>1</v>
      </c>
      <c r="P15" s="7" t="s">
        <v>417</v>
      </c>
    </row>
    <row r="16" spans="1:16" ht="11.25">
      <c r="A16" s="461"/>
      <c r="B16" s="458"/>
      <c r="C16" s="458"/>
      <c r="D16" s="459"/>
      <c r="E16" s="463"/>
      <c r="F16" s="459"/>
      <c r="G16" s="463"/>
      <c r="H16" s="459"/>
      <c r="I16" s="463"/>
      <c r="J16" s="459"/>
      <c r="K16" s="464"/>
      <c r="N16" s="11" t="s">
        <v>2158</v>
      </c>
      <c r="O16" s="12" t="b">
        <f>IF(NOT(ISBLANK(s020.02613)),IF(s020.02613&lt;0,TRUE,FALSE),TRUE)</f>
        <v>1</v>
      </c>
      <c r="P16" s="2" t="s">
        <v>417</v>
      </c>
    </row>
    <row r="17" spans="1:16" ht="11.25">
      <c r="A17" s="29" t="s">
        <v>497</v>
      </c>
      <c r="B17" s="31"/>
      <c r="C17" s="31"/>
      <c r="D17" s="4" t="s">
        <v>932</v>
      </c>
      <c r="E17" s="450"/>
      <c r="F17" s="389">
        <f t="shared" si="0"/>
        <v>1200</v>
      </c>
      <c r="G17" s="450"/>
      <c r="H17" s="389">
        <f>1000+F17</f>
        <v>2200</v>
      </c>
      <c r="I17" s="450">
        <v>-3451000</v>
      </c>
      <c r="J17" s="389">
        <f t="shared" si="1"/>
        <v>3200</v>
      </c>
      <c r="K17" s="451">
        <v>-16605000</v>
      </c>
      <c r="L17" s="25"/>
      <c r="N17" s="11" t="s">
        <v>2159</v>
      </c>
      <c r="O17" s="12" t="b">
        <f>IF(NOT(ISBLANK(s020.03613)),IF(s020.03613&lt;0,TRUE,FALSE),TRUE)</f>
        <v>1</v>
      </c>
      <c r="P17" s="2" t="s">
        <v>417</v>
      </c>
    </row>
    <row r="18" spans="1:16" s="7" customFormat="1" ht="11.25">
      <c r="A18" s="222"/>
      <c r="B18" s="223" t="s">
        <v>1708</v>
      </c>
      <c r="C18" s="223"/>
      <c r="D18" s="196" t="s">
        <v>1117</v>
      </c>
      <c r="E18" s="337"/>
      <c r="F18" s="196">
        <f t="shared" si="0"/>
        <v>1210</v>
      </c>
      <c r="G18" s="337"/>
      <c r="H18" s="196">
        <f>1000+F18</f>
        <v>2210</v>
      </c>
      <c r="I18" s="337">
        <v>-3448000</v>
      </c>
      <c r="J18" s="196">
        <f t="shared" si="1"/>
        <v>3210</v>
      </c>
      <c r="K18" s="341">
        <v>-16594000</v>
      </c>
      <c r="L18" s="33"/>
      <c r="N18" s="11" t="s">
        <v>2160</v>
      </c>
      <c r="O18" s="12" t="b">
        <f>IF(NOT(ISBLANK(s020.02614)),IF(s020.02614&lt;0,TRUE,FALSE),TRUE)</f>
        <v>1</v>
      </c>
      <c r="P18" s="7" t="s">
        <v>417</v>
      </c>
    </row>
    <row r="19" spans="1:16" s="7" customFormat="1" ht="11.25">
      <c r="A19" s="222"/>
      <c r="B19" s="223" t="s">
        <v>46</v>
      </c>
      <c r="C19" s="223"/>
      <c r="D19" s="32" t="s">
        <v>1127</v>
      </c>
      <c r="E19" s="337"/>
      <c r="F19" s="32">
        <f t="shared" si="0"/>
        <v>1220</v>
      </c>
      <c r="G19" s="337"/>
      <c r="H19" s="32">
        <f>1000+F19</f>
        <v>2220</v>
      </c>
      <c r="I19" s="337">
        <v>-3000</v>
      </c>
      <c r="J19" s="32">
        <f t="shared" si="1"/>
        <v>3220</v>
      </c>
      <c r="K19" s="341">
        <v>-11000</v>
      </c>
      <c r="L19" s="33"/>
      <c r="N19" s="11" t="s">
        <v>788</v>
      </c>
      <c r="O19" s="12" t="b">
        <f>IF(NOT(ISBLANK(s020.03614)),IF(s020.03614&lt;0,TRUE,FALSE),TRUE)</f>
        <v>1</v>
      </c>
      <c r="P19" s="7" t="s">
        <v>417</v>
      </c>
    </row>
    <row r="20" spans="1:16" s="7" customFormat="1" ht="11.25">
      <c r="A20" s="224"/>
      <c r="B20" s="225" t="s">
        <v>45</v>
      </c>
      <c r="C20" s="225"/>
      <c r="D20" s="35" t="s">
        <v>933</v>
      </c>
      <c r="E20" s="453"/>
      <c r="F20" s="35">
        <f t="shared" si="0"/>
        <v>1230</v>
      </c>
      <c r="G20" s="338"/>
      <c r="H20" s="35">
        <f>1000+F20</f>
        <v>2230</v>
      </c>
      <c r="I20" s="338"/>
      <c r="J20" s="35">
        <f t="shared" si="1"/>
        <v>3230</v>
      </c>
      <c r="K20" s="342"/>
      <c r="L20" s="33"/>
      <c r="N20" s="11" t="s">
        <v>789</v>
      </c>
      <c r="O20" s="12" t="b">
        <f>IF(NOT(ISBLANK(s020.02631)),IF(s020.02631&lt;0,TRUE,FALSE),TRUE)</f>
        <v>1</v>
      </c>
      <c r="P20" s="7" t="s">
        <v>417</v>
      </c>
    </row>
    <row r="21" spans="1:16" ht="11.25">
      <c r="A21" s="466"/>
      <c r="B21" s="467"/>
      <c r="C21" s="467"/>
      <c r="D21" s="459"/>
      <c r="E21" s="463"/>
      <c r="F21" s="459"/>
      <c r="G21" s="463"/>
      <c r="H21" s="459"/>
      <c r="I21" s="463"/>
      <c r="J21" s="459"/>
      <c r="K21" s="464"/>
      <c r="N21" s="11" t="s">
        <v>790</v>
      </c>
      <c r="O21" s="12" t="b">
        <f>IF(NOT(ISBLANK(s020.03631)),IF(s020.03631&lt;0,TRUE,FALSE),TRUE)</f>
        <v>1</v>
      </c>
      <c r="P21" s="2" t="s">
        <v>417</v>
      </c>
    </row>
    <row r="22" spans="1:16" ht="11.25">
      <c r="A22" s="29" t="s">
        <v>1709</v>
      </c>
      <c r="B22" s="31"/>
      <c r="C22" s="31"/>
      <c r="D22" s="4" t="s">
        <v>242</v>
      </c>
      <c r="E22" s="450"/>
      <c r="F22" s="389">
        <f t="shared" si="0"/>
        <v>1250</v>
      </c>
      <c r="G22" s="450"/>
      <c r="H22" s="389">
        <f>1000+F22</f>
        <v>2250</v>
      </c>
      <c r="I22" s="450">
        <v>6904000</v>
      </c>
      <c r="J22" s="389">
        <f t="shared" si="1"/>
        <v>3250</v>
      </c>
      <c r="K22" s="451">
        <v>21915000</v>
      </c>
      <c r="L22" s="25"/>
      <c r="N22" s="11" t="s">
        <v>791</v>
      </c>
      <c r="O22" s="12" t="b">
        <f>IF(NOT(ISBLANK(s020.02632)),IF(s020.02632&lt;0,TRUE,FALSE),TRUE)</f>
        <v>1</v>
      </c>
      <c r="P22" s="2" t="s">
        <v>417</v>
      </c>
    </row>
    <row r="23" spans="1:16" ht="11.25">
      <c r="A23" s="466"/>
      <c r="B23" s="467"/>
      <c r="C23" s="467"/>
      <c r="D23" s="459"/>
      <c r="E23" s="463"/>
      <c r="F23" s="459"/>
      <c r="G23" s="463"/>
      <c r="H23" s="459"/>
      <c r="I23" s="463"/>
      <c r="J23" s="459"/>
      <c r="K23" s="464"/>
      <c r="N23" s="11" t="s">
        <v>792</v>
      </c>
      <c r="O23" s="12" t="b">
        <f>IF(NOT(ISBLANK(s020.03632)),IF(s020.03632&lt;0,TRUE,FALSE),TRUE)</f>
        <v>1</v>
      </c>
      <c r="P23" s="2" t="s">
        <v>417</v>
      </c>
    </row>
    <row r="24" spans="1:16" ht="11.25">
      <c r="A24" s="29" t="s">
        <v>117</v>
      </c>
      <c r="B24" s="31"/>
      <c r="C24" s="31"/>
      <c r="D24" s="4" t="s">
        <v>1128</v>
      </c>
      <c r="E24" s="454"/>
      <c r="F24" s="389">
        <f t="shared" si="0"/>
        <v>1300</v>
      </c>
      <c r="G24" s="454"/>
      <c r="H24" s="389">
        <f>1000+F24</f>
        <v>2300</v>
      </c>
      <c r="I24" s="454"/>
      <c r="J24" s="389">
        <f t="shared" si="1"/>
        <v>3300</v>
      </c>
      <c r="K24" s="455"/>
      <c r="L24" s="25"/>
      <c r="N24" s="11" t="s">
        <v>793</v>
      </c>
      <c r="O24" s="12" t="b">
        <f>IF(NOT(ISBLANK(s020.02633)),IF(s020.02633&lt;0,TRUE,FALSE),TRUE)</f>
        <v>1</v>
      </c>
      <c r="P24" s="2" t="s">
        <v>417</v>
      </c>
    </row>
    <row r="25" spans="1:16" ht="11.25">
      <c r="A25" s="226"/>
      <c r="B25" s="223" t="s">
        <v>1606</v>
      </c>
      <c r="C25" s="223"/>
      <c r="D25" s="424" t="s">
        <v>1570</v>
      </c>
      <c r="E25" s="348"/>
      <c r="F25" s="152">
        <f t="shared" si="0"/>
        <v>1310</v>
      </c>
      <c r="G25" s="348"/>
      <c r="H25" s="152">
        <f>1000+F25</f>
        <v>2310</v>
      </c>
      <c r="I25" s="348"/>
      <c r="J25" s="152">
        <f t="shared" si="1"/>
        <v>3310</v>
      </c>
      <c r="K25" s="348"/>
      <c r="L25" s="25"/>
      <c r="N25" s="11" t="s">
        <v>794</v>
      </c>
      <c r="O25" s="12" t="b">
        <f>IF(NOT(ISBLANK(s020.03633)),IF(s020.03633&lt;0,TRUE,FALSE),TRUE)</f>
        <v>1</v>
      </c>
      <c r="P25" s="2" t="s">
        <v>417</v>
      </c>
    </row>
    <row r="26" spans="1:16" ht="11.25">
      <c r="A26" s="226"/>
      <c r="B26" s="223" t="s">
        <v>1607</v>
      </c>
      <c r="C26" s="223"/>
      <c r="D26" s="425" t="s">
        <v>1609</v>
      </c>
      <c r="E26" s="341"/>
      <c r="F26" s="250">
        <f t="shared" si="0"/>
        <v>1320</v>
      </c>
      <c r="G26" s="341"/>
      <c r="H26" s="250">
        <f>1000+F26</f>
        <v>2320</v>
      </c>
      <c r="I26" s="341"/>
      <c r="J26" s="250">
        <f t="shared" si="1"/>
        <v>3320</v>
      </c>
      <c r="K26" s="341"/>
      <c r="N26" s="11" t="s">
        <v>795</v>
      </c>
      <c r="O26" s="12" t="b">
        <f>IF(NOT(ISBLANK(s020.02634)),IF(s020.02634&lt;0,TRUE,FALSE),TRUE)</f>
        <v>1</v>
      </c>
      <c r="P26" s="2" t="s">
        <v>417</v>
      </c>
    </row>
    <row r="27" spans="1:16" ht="11.25">
      <c r="A27" s="227"/>
      <c r="B27" s="225" t="s">
        <v>1608</v>
      </c>
      <c r="C27" s="225"/>
      <c r="D27" s="426" t="s">
        <v>1610</v>
      </c>
      <c r="E27" s="342"/>
      <c r="F27" s="298">
        <f t="shared" si="0"/>
        <v>1330</v>
      </c>
      <c r="G27" s="342"/>
      <c r="H27" s="298">
        <f>1000+F27</f>
        <v>2330</v>
      </c>
      <c r="I27" s="342"/>
      <c r="J27" s="298">
        <f t="shared" si="1"/>
        <v>3330</v>
      </c>
      <c r="K27" s="342"/>
      <c r="N27" s="11" t="s">
        <v>796</v>
      </c>
      <c r="O27" s="12" t="b">
        <f>IF(NOT(ISBLANK(s020.03634)),IF(s020.03634&lt;0,TRUE,FALSE),TRUE)</f>
        <v>1</v>
      </c>
      <c r="P27" s="2" t="s">
        <v>417</v>
      </c>
    </row>
    <row r="28" spans="1:16" ht="11.25">
      <c r="A28" s="466"/>
      <c r="B28" s="467"/>
      <c r="C28" s="467"/>
      <c r="D28" s="459"/>
      <c r="E28" s="468"/>
      <c r="F28" s="459"/>
      <c r="G28" s="468"/>
      <c r="H28" s="459"/>
      <c r="I28" s="468"/>
      <c r="J28" s="459"/>
      <c r="K28" s="520"/>
      <c r="N28" s="11" t="s">
        <v>797</v>
      </c>
      <c r="O28" s="12" t="b">
        <f>IF(NOT(ISBLANK(s020.02635)),IF(s020.02635&lt;0,TRUE,FALSE),TRUE)</f>
        <v>1</v>
      </c>
      <c r="P28" s="2" t="s">
        <v>417</v>
      </c>
    </row>
    <row r="29" spans="1:16" s="7" customFormat="1" ht="11.25">
      <c r="A29" s="29" t="s">
        <v>130</v>
      </c>
      <c r="B29" s="31"/>
      <c r="C29" s="31"/>
      <c r="D29" s="4" t="s">
        <v>1129</v>
      </c>
      <c r="E29" s="451"/>
      <c r="F29" s="389">
        <f t="shared" si="0"/>
        <v>1400</v>
      </c>
      <c r="G29" s="451"/>
      <c r="H29" s="389">
        <f>1000+F29</f>
        <v>2400</v>
      </c>
      <c r="I29" s="451"/>
      <c r="J29" s="389">
        <f t="shared" si="1"/>
        <v>3400</v>
      </c>
      <c r="K29" s="451"/>
      <c r="L29" s="25"/>
      <c r="N29" s="11" t="s">
        <v>798</v>
      </c>
      <c r="O29" s="12" t="b">
        <f>IF(NOT(ISBLANK(s020.03635)),IF(s020.03635&lt;0,TRUE,FALSE),TRUE)</f>
        <v>1</v>
      </c>
      <c r="P29" s="7" t="s">
        <v>417</v>
      </c>
    </row>
    <row r="30" spans="1:16" ht="11.25">
      <c r="A30" s="466"/>
      <c r="B30" s="467"/>
      <c r="C30" s="467"/>
      <c r="D30" s="459"/>
      <c r="E30" s="463"/>
      <c r="F30" s="459"/>
      <c r="G30" s="463"/>
      <c r="H30" s="459"/>
      <c r="I30" s="463"/>
      <c r="J30" s="459"/>
      <c r="K30" s="464"/>
      <c r="N30" s="11" t="s">
        <v>799</v>
      </c>
      <c r="O30" s="12" t="b">
        <f>IF(NOT(ISBLANK(s020.02636)),IF(s020.02636&lt;0,TRUE,FALSE),TRUE)</f>
        <v>1</v>
      </c>
      <c r="P30" s="2" t="s">
        <v>417</v>
      </c>
    </row>
    <row r="31" spans="1:16" s="7" customFormat="1" ht="11.25">
      <c r="A31" s="29" t="s">
        <v>881</v>
      </c>
      <c r="B31" s="31"/>
      <c r="C31" s="31"/>
      <c r="D31" s="4" t="s">
        <v>1132</v>
      </c>
      <c r="E31" s="451"/>
      <c r="F31" s="389">
        <f t="shared" si="0"/>
        <v>1500</v>
      </c>
      <c r="G31" s="451"/>
      <c r="H31" s="389">
        <f>1000+F31</f>
        <v>2500</v>
      </c>
      <c r="I31" s="451"/>
      <c r="J31" s="389">
        <f t="shared" si="1"/>
        <v>3500</v>
      </c>
      <c r="K31" s="451"/>
      <c r="N31" s="11" t="s">
        <v>800</v>
      </c>
      <c r="O31" s="12" t="b">
        <f>IF(NOT(ISBLANK(s020.03636)),IF(s020.03636&lt;0,TRUE,FALSE),TRUE)</f>
        <v>1</v>
      </c>
      <c r="P31" s="7" t="s">
        <v>417</v>
      </c>
    </row>
    <row r="32" spans="1:16" ht="11.25">
      <c r="A32" s="466"/>
      <c r="B32" s="467"/>
      <c r="C32" s="467"/>
      <c r="D32" s="459"/>
      <c r="E32" s="463"/>
      <c r="F32" s="459"/>
      <c r="G32" s="463"/>
      <c r="H32" s="459"/>
      <c r="I32" s="463"/>
      <c r="J32" s="459"/>
      <c r="K32" s="464"/>
      <c r="N32" s="11" t="s">
        <v>801</v>
      </c>
      <c r="O32" s="12" t="b">
        <f>s020.00100=s020.00110+s020.00120+s020.00130</f>
        <v>1</v>
      </c>
      <c r="P32" s="2" t="s">
        <v>417</v>
      </c>
    </row>
    <row r="33" spans="1:16" s="7" customFormat="1" ht="11.25">
      <c r="A33" s="29" t="s">
        <v>882</v>
      </c>
      <c r="B33" s="31"/>
      <c r="C33" s="31"/>
      <c r="D33" s="4" t="s">
        <v>1133</v>
      </c>
      <c r="E33" s="454"/>
      <c r="F33" s="389">
        <f t="shared" si="0"/>
        <v>1600</v>
      </c>
      <c r="G33" s="454"/>
      <c r="H33" s="389">
        <f aca="true" t="shared" si="2" ref="H33:H47">1000+F33</f>
        <v>2600</v>
      </c>
      <c r="I33" s="454">
        <v>-163000</v>
      </c>
      <c r="J33" s="389">
        <f t="shared" si="1"/>
        <v>3600</v>
      </c>
      <c r="K33" s="455">
        <v>-16290000</v>
      </c>
      <c r="L33" s="25"/>
      <c r="N33" s="11" t="s">
        <v>802</v>
      </c>
      <c r="O33" s="12" t="b">
        <f>s020.01100=s020.01110+s020.01120+s020.01130</f>
        <v>1</v>
      </c>
      <c r="P33" s="7" t="s">
        <v>417</v>
      </c>
    </row>
    <row r="34" spans="1:16" s="7" customFormat="1" ht="11.25">
      <c r="A34" s="222"/>
      <c r="B34" s="223" t="s">
        <v>883</v>
      </c>
      <c r="C34" s="223"/>
      <c r="D34" s="424" t="s">
        <v>278</v>
      </c>
      <c r="E34" s="348"/>
      <c r="F34" s="152">
        <f t="shared" si="0"/>
        <v>1610</v>
      </c>
      <c r="G34" s="348"/>
      <c r="H34" s="152">
        <f t="shared" si="2"/>
        <v>2610</v>
      </c>
      <c r="I34" s="348">
        <v>-2000</v>
      </c>
      <c r="J34" s="152">
        <f t="shared" si="1"/>
        <v>3610</v>
      </c>
      <c r="K34" s="348">
        <v>-15000</v>
      </c>
      <c r="L34" s="25"/>
      <c r="N34" s="11" t="s">
        <v>803</v>
      </c>
      <c r="O34" s="12" t="b">
        <f>s020.02100=s020.02110+s020.02120+s020.02130</f>
        <v>1</v>
      </c>
      <c r="P34" s="7" t="s">
        <v>417</v>
      </c>
    </row>
    <row r="35" spans="1:16" s="7" customFormat="1" ht="11.25">
      <c r="A35" s="222"/>
      <c r="B35" s="77"/>
      <c r="C35" s="77" t="s">
        <v>884</v>
      </c>
      <c r="D35" s="425" t="s">
        <v>1594</v>
      </c>
      <c r="E35" s="341"/>
      <c r="F35" s="250">
        <f t="shared" si="0"/>
        <v>1611</v>
      </c>
      <c r="G35" s="341"/>
      <c r="H35" s="250">
        <f t="shared" si="2"/>
        <v>2611</v>
      </c>
      <c r="I35" s="341">
        <v>-2000</v>
      </c>
      <c r="J35" s="250">
        <f t="shared" si="1"/>
        <v>3611</v>
      </c>
      <c r="K35" s="341">
        <v>-6000</v>
      </c>
      <c r="L35" s="33"/>
      <c r="N35" s="11" t="s">
        <v>804</v>
      </c>
      <c r="O35" s="12" t="b">
        <f>s020.03100=s020.03110+s020.03120+s020.03130</f>
        <v>1</v>
      </c>
      <c r="P35" s="7" t="s">
        <v>417</v>
      </c>
    </row>
    <row r="36" spans="1:16" s="7" customFormat="1" ht="11.25">
      <c r="A36" s="222"/>
      <c r="B36" s="77"/>
      <c r="C36" s="77" t="s">
        <v>885</v>
      </c>
      <c r="D36" s="425" t="s">
        <v>1595</v>
      </c>
      <c r="E36" s="341"/>
      <c r="F36" s="250">
        <f t="shared" si="0"/>
        <v>1612</v>
      </c>
      <c r="G36" s="341"/>
      <c r="H36" s="250">
        <f t="shared" si="2"/>
        <v>2612</v>
      </c>
      <c r="I36" s="341"/>
      <c r="J36" s="250">
        <f t="shared" si="1"/>
        <v>3612</v>
      </c>
      <c r="K36" s="341"/>
      <c r="L36" s="33"/>
      <c r="N36" s="11" t="s">
        <v>805</v>
      </c>
      <c r="O36" s="12" t="b">
        <f>s020.00200=s020.00210+s020.00220+s020.00230</f>
        <v>1</v>
      </c>
      <c r="P36" s="7" t="s">
        <v>417</v>
      </c>
    </row>
    <row r="37" spans="1:16" s="7" customFormat="1" ht="11.25">
      <c r="A37" s="222"/>
      <c r="B37" s="77"/>
      <c r="C37" s="77" t="s">
        <v>886</v>
      </c>
      <c r="D37" s="425" t="s">
        <v>1596</v>
      </c>
      <c r="E37" s="341"/>
      <c r="F37" s="250">
        <f t="shared" si="0"/>
        <v>1613</v>
      </c>
      <c r="G37" s="341"/>
      <c r="H37" s="250">
        <f t="shared" si="2"/>
        <v>2613</v>
      </c>
      <c r="I37" s="341"/>
      <c r="J37" s="250">
        <f t="shared" si="1"/>
        <v>3613</v>
      </c>
      <c r="K37" s="341"/>
      <c r="L37" s="33"/>
      <c r="N37" s="11" t="s">
        <v>1147</v>
      </c>
      <c r="O37" s="12" t="b">
        <f>s020.01200=s020.01210+s020.01220+s020.01230</f>
        <v>1</v>
      </c>
      <c r="P37" s="7" t="s">
        <v>417</v>
      </c>
    </row>
    <row r="38" spans="1:16" s="7" customFormat="1" ht="11.25">
      <c r="A38" s="222"/>
      <c r="B38" s="77"/>
      <c r="C38" s="77" t="s">
        <v>887</v>
      </c>
      <c r="D38" s="425" t="s">
        <v>1597</v>
      </c>
      <c r="E38" s="341"/>
      <c r="F38" s="250">
        <f t="shared" si="0"/>
        <v>1614</v>
      </c>
      <c r="G38" s="341"/>
      <c r="H38" s="250">
        <f t="shared" si="2"/>
        <v>2614</v>
      </c>
      <c r="I38" s="341"/>
      <c r="J38" s="250">
        <f t="shared" si="1"/>
        <v>3614</v>
      </c>
      <c r="K38" s="341">
        <v>-9000</v>
      </c>
      <c r="L38" s="33"/>
      <c r="N38" s="11" t="s">
        <v>1148</v>
      </c>
      <c r="O38" s="12" t="b">
        <f>s020.02200=s020.02210+s020.02220+s020.02230</f>
        <v>1</v>
      </c>
      <c r="P38" s="7" t="s">
        <v>417</v>
      </c>
    </row>
    <row r="39" spans="1:16" s="7" customFormat="1" ht="11.25">
      <c r="A39" s="222"/>
      <c r="B39" s="223" t="s">
        <v>888</v>
      </c>
      <c r="C39" s="223"/>
      <c r="D39" s="425" t="s">
        <v>279</v>
      </c>
      <c r="E39" s="341"/>
      <c r="F39" s="250">
        <f t="shared" si="0"/>
        <v>1620</v>
      </c>
      <c r="G39" s="341"/>
      <c r="H39" s="250">
        <f t="shared" si="2"/>
        <v>2620</v>
      </c>
      <c r="I39" s="341"/>
      <c r="J39" s="250">
        <f t="shared" si="1"/>
        <v>3620</v>
      </c>
      <c r="K39" s="341"/>
      <c r="N39" s="11" t="s">
        <v>1149</v>
      </c>
      <c r="O39" s="12" t="b">
        <f>s020.03200=s020.03210+s020.03220+s020.03230</f>
        <v>1</v>
      </c>
      <c r="P39" s="7" t="s">
        <v>417</v>
      </c>
    </row>
    <row r="40" spans="1:16" s="7" customFormat="1" ht="11.25">
      <c r="A40" s="222"/>
      <c r="B40" s="223" t="s">
        <v>889</v>
      </c>
      <c r="C40" s="223"/>
      <c r="D40" s="425" t="s">
        <v>280</v>
      </c>
      <c r="E40" s="341"/>
      <c r="F40" s="250">
        <f t="shared" si="0"/>
        <v>1630</v>
      </c>
      <c r="G40" s="341"/>
      <c r="H40" s="250">
        <f t="shared" si="2"/>
        <v>2630</v>
      </c>
      <c r="I40" s="341">
        <v>-161000</v>
      </c>
      <c r="J40" s="250">
        <f t="shared" si="1"/>
        <v>3630</v>
      </c>
      <c r="K40" s="341">
        <v>-16275000</v>
      </c>
      <c r="L40" s="25"/>
      <c r="N40" s="11" t="s">
        <v>1150</v>
      </c>
      <c r="O40" s="12" t="b">
        <f>s020.00250=s020.00100+s020.00200</f>
        <v>1</v>
      </c>
      <c r="P40" s="7" t="s">
        <v>417</v>
      </c>
    </row>
    <row r="41" spans="1:16" s="7" customFormat="1" ht="11.25">
      <c r="A41" s="222"/>
      <c r="B41" s="77"/>
      <c r="C41" s="77" t="s">
        <v>890</v>
      </c>
      <c r="D41" s="425" t="s">
        <v>1598</v>
      </c>
      <c r="E41" s="341"/>
      <c r="F41" s="250">
        <f t="shared" si="0"/>
        <v>1631</v>
      </c>
      <c r="G41" s="341"/>
      <c r="H41" s="250">
        <f t="shared" si="2"/>
        <v>2631</v>
      </c>
      <c r="I41" s="341">
        <v>-62000</v>
      </c>
      <c r="J41" s="250">
        <f t="shared" si="1"/>
        <v>3631</v>
      </c>
      <c r="K41" s="341">
        <v>-174000</v>
      </c>
      <c r="L41" s="33"/>
      <c r="N41" s="11" t="s">
        <v>1151</v>
      </c>
      <c r="O41" s="12" t="b">
        <f>s020.01250=s020.01100+s020.01200</f>
        <v>1</v>
      </c>
      <c r="P41" s="7" t="s">
        <v>417</v>
      </c>
    </row>
    <row r="42" spans="1:16" s="7" customFormat="1" ht="11.25">
      <c r="A42" s="222"/>
      <c r="B42" s="77"/>
      <c r="C42" s="77" t="s">
        <v>891</v>
      </c>
      <c r="D42" s="425" t="s">
        <v>1599</v>
      </c>
      <c r="E42" s="341"/>
      <c r="F42" s="250">
        <f t="shared" si="0"/>
        <v>1632</v>
      </c>
      <c r="G42" s="341"/>
      <c r="H42" s="250">
        <f t="shared" si="2"/>
        <v>2632</v>
      </c>
      <c r="I42" s="341">
        <v>-12000</v>
      </c>
      <c r="J42" s="250">
        <f t="shared" si="1"/>
        <v>3632</v>
      </c>
      <c r="K42" s="341">
        <v>-24000</v>
      </c>
      <c r="L42" s="33"/>
      <c r="N42" s="11" t="s">
        <v>1152</v>
      </c>
      <c r="O42" s="12" t="b">
        <f>s020.02250=s020.02100+s020.02200</f>
        <v>1</v>
      </c>
      <c r="P42" s="7" t="s">
        <v>417</v>
      </c>
    </row>
    <row r="43" spans="1:16" s="7" customFormat="1" ht="11.25">
      <c r="A43" s="222"/>
      <c r="B43" s="77"/>
      <c r="C43" s="77" t="s">
        <v>1189</v>
      </c>
      <c r="D43" s="425" t="s">
        <v>1600</v>
      </c>
      <c r="E43" s="341"/>
      <c r="F43" s="250">
        <f t="shared" si="0"/>
        <v>1633</v>
      </c>
      <c r="G43" s="341"/>
      <c r="H43" s="250">
        <f t="shared" si="2"/>
        <v>2633</v>
      </c>
      <c r="I43" s="341"/>
      <c r="J43" s="250">
        <f t="shared" si="1"/>
        <v>3633</v>
      </c>
      <c r="K43" s="341"/>
      <c r="L43" s="33"/>
      <c r="N43" s="11" t="s">
        <v>1153</v>
      </c>
      <c r="O43" s="12" t="b">
        <f>s020.03250=s020.03100+s020.03200</f>
        <v>1</v>
      </c>
      <c r="P43" s="7" t="s">
        <v>417</v>
      </c>
    </row>
    <row r="44" spans="1:16" s="7" customFormat="1" ht="11.25">
      <c r="A44" s="222"/>
      <c r="B44" s="77"/>
      <c r="C44" s="77" t="s">
        <v>1190</v>
      </c>
      <c r="D44" s="425" t="s">
        <v>1601</v>
      </c>
      <c r="E44" s="341"/>
      <c r="F44" s="250">
        <f t="shared" si="0"/>
        <v>1634</v>
      </c>
      <c r="G44" s="341"/>
      <c r="H44" s="250">
        <f t="shared" si="2"/>
        <v>2634</v>
      </c>
      <c r="I44" s="341"/>
      <c r="J44" s="250">
        <f t="shared" si="1"/>
        <v>3634</v>
      </c>
      <c r="K44" s="341"/>
      <c r="L44" s="33"/>
      <c r="N44" s="11" t="s">
        <v>1154</v>
      </c>
      <c r="O44" s="12" t="b">
        <f>s020.00300=s020.00310+s020.00320+s020.00330</f>
        <v>1</v>
      </c>
      <c r="P44" s="7" t="s">
        <v>417</v>
      </c>
    </row>
    <row r="45" spans="1:16" s="7" customFormat="1" ht="11.25">
      <c r="A45" s="222"/>
      <c r="B45" s="77"/>
      <c r="C45" s="77" t="s">
        <v>1191</v>
      </c>
      <c r="D45" s="425" t="s">
        <v>1602</v>
      </c>
      <c r="E45" s="341"/>
      <c r="F45" s="250">
        <f t="shared" si="0"/>
        <v>1635</v>
      </c>
      <c r="G45" s="341"/>
      <c r="H45" s="250">
        <f t="shared" si="2"/>
        <v>2635</v>
      </c>
      <c r="I45" s="341"/>
      <c r="J45" s="250">
        <f t="shared" si="1"/>
        <v>3635</v>
      </c>
      <c r="K45" s="341">
        <v>-15946000</v>
      </c>
      <c r="L45" s="33"/>
      <c r="N45" s="11" t="s">
        <v>1155</v>
      </c>
      <c r="O45" s="12" t="b">
        <f>s020.01300=s020.01310+s020.01320+s020.01330</f>
        <v>1</v>
      </c>
      <c r="P45" s="7" t="s">
        <v>417</v>
      </c>
    </row>
    <row r="46" spans="1:16" s="7" customFormat="1" ht="11.25">
      <c r="A46" s="222"/>
      <c r="B46" s="77"/>
      <c r="C46" s="77" t="s">
        <v>2377</v>
      </c>
      <c r="D46" s="425" t="s">
        <v>1187</v>
      </c>
      <c r="E46" s="341"/>
      <c r="F46" s="250">
        <f t="shared" si="0"/>
        <v>1636</v>
      </c>
      <c r="G46" s="341"/>
      <c r="H46" s="250">
        <f t="shared" si="2"/>
        <v>2636</v>
      </c>
      <c r="I46" s="341"/>
      <c r="J46" s="250">
        <f t="shared" si="1"/>
        <v>3636</v>
      </c>
      <c r="K46" s="341"/>
      <c r="L46" s="33"/>
      <c r="N46" s="11" t="s">
        <v>1156</v>
      </c>
      <c r="O46" s="12" t="b">
        <f>s020.02300=s020.02310+s020.02320+s020.02330</f>
        <v>1</v>
      </c>
      <c r="P46" s="7" t="s">
        <v>417</v>
      </c>
    </row>
    <row r="47" spans="1:16" s="7" customFormat="1" ht="11.25">
      <c r="A47" s="224"/>
      <c r="B47" s="57"/>
      <c r="C47" s="57" t="s">
        <v>1186</v>
      </c>
      <c r="D47" s="426" t="s">
        <v>1188</v>
      </c>
      <c r="E47" s="342"/>
      <c r="F47" s="298">
        <f t="shared" si="0"/>
        <v>1637</v>
      </c>
      <c r="G47" s="342"/>
      <c r="H47" s="298">
        <f t="shared" si="2"/>
        <v>2637</v>
      </c>
      <c r="I47" s="342">
        <v>-87000</v>
      </c>
      <c r="J47" s="298">
        <f t="shared" si="1"/>
        <v>3637</v>
      </c>
      <c r="K47" s="342">
        <v>-131000</v>
      </c>
      <c r="L47" s="33"/>
      <c r="N47" s="11" t="s">
        <v>1157</v>
      </c>
      <c r="O47" s="12" t="b">
        <f>s020.03300=s020.03310+s020.03320+s020.03330</f>
        <v>1</v>
      </c>
      <c r="P47" s="7" t="s">
        <v>417</v>
      </c>
    </row>
    <row r="48" spans="1:16" ht="11.25">
      <c r="A48" s="466"/>
      <c r="B48" s="467"/>
      <c r="C48" s="467"/>
      <c r="D48" s="459"/>
      <c r="E48" s="463"/>
      <c r="F48" s="459"/>
      <c r="G48" s="463"/>
      <c r="H48" s="459"/>
      <c r="I48" s="463"/>
      <c r="J48" s="459"/>
      <c r="K48" s="464"/>
      <c r="N48" s="11" t="s">
        <v>2161</v>
      </c>
      <c r="O48" s="12" t="b">
        <f>s020.00610=s020.00611+s020.00612+s020.00613+s020.00614+s020.00620</f>
        <v>1</v>
      </c>
      <c r="P48" s="2" t="s">
        <v>417</v>
      </c>
    </row>
    <row r="49" spans="1:16" s="7" customFormat="1" ht="11.25">
      <c r="A49" s="29" t="s">
        <v>892</v>
      </c>
      <c r="B49" s="31"/>
      <c r="C49" s="31"/>
      <c r="D49" s="4" t="s">
        <v>1134</v>
      </c>
      <c r="E49" s="454"/>
      <c r="F49" s="389">
        <f t="shared" si="0"/>
        <v>1700</v>
      </c>
      <c r="G49" s="454"/>
      <c r="H49" s="389">
        <f>1000+F49</f>
        <v>2700</v>
      </c>
      <c r="I49" s="454">
        <v>-19322000</v>
      </c>
      <c r="J49" s="389">
        <f t="shared" si="1"/>
        <v>3700</v>
      </c>
      <c r="K49" s="455">
        <v>-41305000</v>
      </c>
      <c r="L49" s="25"/>
      <c r="N49" s="11" t="s">
        <v>2162</v>
      </c>
      <c r="O49" s="12" t="b">
        <f>s020.01610=s020.01611+s020.01612+s020.01613+s020.01614+s020.01620</f>
        <v>1</v>
      </c>
      <c r="P49" s="7" t="s">
        <v>417</v>
      </c>
    </row>
    <row r="50" spans="1:16" ht="11.25">
      <c r="A50" s="222"/>
      <c r="B50" s="223" t="s">
        <v>2274</v>
      </c>
      <c r="C50" s="223"/>
      <c r="D50" s="424" t="s">
        <v>281</v>
      </c>
      <c r="E50" s="348"/>
      <c r="F50" s="152">
        <f t="shared" si="0"/>
        <v>1710</v>
      </c>
      <c r="G50" s="348"/>
      <c r="H50" s="152">
        <f>1000+F50</f>
        <v>2710</v>
      </c>
      <c r="I50" s="348"/>
      <c r="J50" s="152">
        <f t="shared" si="1"/>
        <v>3710</v>
      </c>
      <c r="K50" s="348"/>
      <c r="L50" s="25"/>
      <c r="N50" s="11" t="s">
        <v>2163</v>
      </c>
      <c r="O50" s="12" t="b">
        <f>s020.02610=s020.02611+s020.02612+s020.02613+s020.02614+s020.02620</f>
        <v>1</v>
      </c>
      <c r="P50" s="2" t="s">
        <v>417</v>
      </c>
    </row>
    <row r="51" spans="1:16" ht="11.25">
      <c r="A51" s="222"/>
      <c r="B51" s="223" t="s">
        <v>2275</v>
      </c>
      <c r="C51" s="223"/>
      <c r="D51" s="425" t="s">
        <v>285</v>
      </c>
      <c r="E51" s="341"/>
      <c r="F51" s="250">
        <f t="shared" si="0"/>
        <v>1720</v>
      </c>
      <c r="G51" s="341"/>
      <c r="H51" s="250">
        <f>1000+F51</f>
        <v>2720</v>
      </c>
      <c r="I51" s="341">
        <v>-19322000</v>
      </c>
      <c r="J51" s="250">
        <f t="shared" si="1"/>
        <v>3720</v>
      </c>
      <c r="K51" s="341">
        <v>-41305000</v>
      </c>
      <c r="L51" s="25"/>
      <c r="N51" s="11" t="s">
        <v>2164</v>
      </c>
      <c r="O51" s="12" t="b">
        <f>s020.03610=s020.03611+s020.03612+s020.03613+s020.03614+s020.03620</f>
        <v>1</v>
      </c>
      <c r="P51" s="2" t="s">
        <v>417</v>
      </c>
    </row>
    <row r="52" spans="1:16" ht="11.25">
      <c r="A52" s="222"/>
      <c r="B52" s="223" t="s">
        <v>2276</v>
      </c>
      <c r="C52" s="223"/>
      <c r="D52" s="425" t="s">
        <v>290</v>
      </c>
      <c r="E52" s="341"/>
      <c r="F52" s="250">
        <f t="shared" si="0"/>
        <v>1730</v>
      </c>
      <c r="G52" s="341"/>
      <c r="H52" s="250">
        <f>1000+F52</f>
        <v>2730</v>
      </c>
      <c r="I52" s="341"/>
      <c r="J52" s="250">
        <f t="shared" si="1"/>
        <v>3730</v>
      </c>
      <c r="K52" s="341"/>
      <c r="L52" s="25"/>
      <c r="N52" s="11" t="s">
        <v>2165</v>
      </c>
      <c r="O52" s="12" t="b">
        <f>s020.00630=s020.00631+s020.00632+s020.00633+s020.00634+s020.00635+s020.00636+s020.00637</f>
        <v>1</v>
      </c>
      <c r="P52" s="2" t="s">
        <v>417</v>
      </c>
    </row>
    <row r="53" spans="1:16" ht="11.25">
      <c r="A53" s="224"/>
      <c r="B53" s="225" t="s">
        <v>2277</v>
      </c>
      <c r="C53" s="225"/>
      <c r="D53" s="426" t="s">
        <v>293</v>
      </c>
      <c r="E53" s="342"/>
      <c r="F53" s="298">
        <f t="shared" si="0"/>
        <v>1740</v>
      </c>
      <c r="G53" s="342"/>
      <c r="H53" s="298">
        <f>1000+F53</f>
        <v>2740</v>
      </c>
      <c r="I53" s="342"/>
      <c r="J53" s="298">
        <f t="shared" si="1"/>
        <v>3740</v>
      </c>
      <c r="K53" s="342"/>
      <c r="L53" s="25"/>
      <c r="N53" s="11" t="s">
        <v>2166</v>
      </c>
      <c r="O53" s="12" t="b">
        <f>s020.01630=s020.01631+s020.01632+s020.01633+s020.01634+s020.01635+s020.01636+s020.01637</f>
        <v>1</v>
      </c>
      <c r="P53" s="2" t="s">
        <v>417</v>
      </c>
    </row>
    <row r="54" spans="1:16" ht="11.25">
      <c r="A54" s="466"/>
      <c r="B54" s="467"/>
      <c r="C54" s="467"/>
      <c r="D54" s="459"/>
      <c r="E54" s="463"/>
      <c r="F54" s="459"/>
      <c r="G54" s="463"/>
      <c r="H54" s="459"/>
      <c r="I54" s="463"/>
      <c r="J54" s="459"/>
      <c r="K54" s="464"/>
      <c r="N54" s="11" t="s">
        <v>2167</v>
      </c>
      <c r="O54" s="12" t="b">
        <f>s020.02630=s020.02631+s020.02632+s020.02633+s020.02634+s020.02635+s020.02636+s020.02637</f>
        <v>1</v>
      </c>
      <c r="P54" s="2" t="s">
        <v>417</v>
      </c>
    </row>
    <row r="55" spans="1:16" s="7" customFormat="1" ht="11.25">
      <c r="A55" s="29" t="s">
        <v>893</v>
      </c>
      <c r="B55" s="31"/>
      <c r="C55" s="31"/>
      <c r="D55" s="4" t="s">
        <v>296</v>
      </c>
      <c r="E55" s="451"/>
      <c r="F55" s="389">
        <f t="shared" si="0"/>
        <v>1750</v>
      </c>
      <c r="G55" s="451"/>
      <c r="H55" s="389">
        <f>1000+F55</f>
        <v>2750</v>
      </c>
      <c r="I55" s="451"/>
      <c r="J55" s="389">
        <f t="shared" si="1"/>
        <v>3750</v>
      </c>
      <c r="K55" s="451"/>
      <c r="L55" s="25"/>
      <c r="N55" s="11" t="s">
        <v>2168</v>
      </c>
      <c r="O55" s="12" t="b">
        <f>s020.03630=s020.03631+s020.03632+s020.03633+s020.03634+s020.03635+s020.03636+s020.03637</f>
        <v>1</v>
      </c>
      <c r="P55" s="7" t="s">
        <v>417</v>
      </c>
    </row>
    <row r="56" spans="1:16" ht="11.25">
      <c r="A56" s="466"/>
      <c r="B56" s="467"/>
      <c r="C56" s="467"/>
      <c r="D56" s="459"/>
      <c r="E56" s="463"/>
      <c r="F56" s="459"/>
      <c r="G56" s="463"/>
      <c r="H56" s="459"/>
      <c r="I56" s="463"/>
      <c r="J56" s="459"/>
      <c r="K56" s="464"/>
      <c r="N56" s="11" t="s">
        <v>2169</v>
      </c>
      <c r="O56" s="12" t="b">
        <f>s020.00600=s020.00610+s020.00630</f>
        <v>1</v>
      </c>
      <c r="P56" s="2" t="s">
        <v>417</v>
      </c>
    </row>
    <row r="57" spans="1:16" s="7" customFormat="1" ht="11.25">
      <c r="A57" s="29" t="s">
        <v>894</v>
      </c>
      <c r="B57" s="31"/>
      <c r="C57" s="31"/>
      <c r="D57" s="4" t="s">
        <v>1135</v>
      </c>
      <c r="E57" s="451"/>
      <c r="F57" s="389">
        <f t="shared" si="0"/>
        <v>1800</v>
      </c>
      <c r="G57" s="451"/>
      <c r="H57" s="389">
        <f>1000+F57</f>
        <v>2800</v>
      </c>
      <c r="I57" s="451">
        <v>-25000</v>
      </c>
      <c r="J57" s="389">
        <f t="shared" si="1"/>
        <v>3800</v>
      </c>
      <c r="K57" s="451">
        <v>-58000</v>
      </c>
      <c r="L57" s="25"/>
      <c r="N57" s="11" t="s">
        <v>1165</v>
      </c>
      <c r="O57" s="12" t="b">
        <f>s020.01600=s020.01610+s020.01630</f>
        <v>1</v>
      </c>
      <c r="P57" s="7" t="s">
        <v>417</v>
      </c>
    </row>
    <row r="58" spans="1:16" ht="11.25">
      <c r="A58" s="466"/>
      <c r="B58" s="467"/>
      <c r="C58" s="467"/>
      <c r="D58" s="459"/>
      <c r="E58" s="463"/>
      <c r="F58" s="459"/>
      <c r="G58" s="463"/>
      <c r="H58" s="459"/>
      <c r="I58" s="463"/>
      <c r="J58" s="459"/>
      <c r="K58" s="464"/>
      <c r="N58" s="11" t="s">
        <v>1166</v>
      </c>
      <c r="O58" s="12" t="b">
        <f>s020.02600=s020.02610+s020.02630</f>
        <v>1</v>
      </c>
      <c r="P58" s="2" t="s">
        <v>417</v>
      </c>
    </row>
    <row r="59" spans="1:16" s="7" customFormat="1" ht="11.25">
      <c r="A59" s="29" t="s">
        <v>924</v>
      </c>
      <c r="B59" s="31"/>
      <c r="C59" s="31"/>
      <c r="D59" s="4" t="s">
        <v>237</v>
      </c>
      <c r="E59" s="451"/>
      <c r="F59" s="389">
        <f t="shared" si="0"/>
        <v>1850</v>
      </c>
      <c r="G59" s="451"/>
      <c r="H59" s="389">
        <f>1000+F59</f>
        <v>2850</v>
      </c>
      <c r="I59" s="451">
        <v>12606000</v>
      </c>
      <c r="J59" s="389">
        <f t="shared" si="1"/>
        <v>3850</v>
      </c>
      <c r="K59" s="451">
        <v>35738000</v>
      </c>
      <c r="L59" s="25"/>
      <c r="N59" s="11" t="s">
        <v>1167</v>
      </c>
      <c r="O59" s="12" t="b">
        <f>s020.03600=s020.03610+s020.03630</f>
        <v>1</v>
      </c>
      <c r="P59" s="7" t="s">
        <v>417</v>
      </c>
    </row>
    <row r="60" spans="1:16" ht="11.25">
      <c r="A60" s="466"/>
      <c r="B60" s="467"/>
      <c r="C60" s="467"/>
      <c r="D60" s="459"/>
      <c r="E60" s="463"/>
      <c r="F60" s="459"/>
      <c r="G60" s="463"/>
      <c r="H60" s="459"/>
      <c r="I60" s="463"/>
      <c r="J60" s="459"/>
      <c r="K60" s="464"/>
      <c r="N60" s="11" t="s">
        <v>1168</v>
      </c>
      <c r="O60" s="12" t="b">
        <f>s020.00700=s020.00710+s020.00720+s020.00730+s020.00740</f>
        <v>1</v>
      </c>
      <c r="P60" s="2" t="s">
        <v>417</v>
      </c>
    </row>
    <row r="61" spans="1:16" s="7" customFormat="1" ht="11.25">
      <c r="A61" s="29" t="s">
        <v>2273</v>
      </c>
      <c r="B61" s="31"/>
      <c r="C61" s="31"/>
      <c r="D61" s="4" t="s">
        <v>1136</v>
      </c>
      <c r="E61" s="450"/>
      <c r="F61" s="389">
        <f t="shared" si="0"/>
        <v>1900</v>
      </c>
      <c r="G61" s="450"/>
      <c r="H61" s="389">
        <f>1000+F61</f>
        <v>2900</v>
      </c>
      <c r="I61" s="450">
        <v>0</v>
      </c>
      <c r="J61" s="389">
        <f t="shared" si="1"/>
        <v>3900</v>
      </c>
      <c r="K61" s="451">
        <v>0</v>
      </c>
      <c r="L61" s="25"/>
      <c r="N61" s="11" t="s">
        <v>1169</v>
      </c>
      <c r="O61" s="12" t="b">
        <f>s020.01700=s020.01710+s020.01720+s020.01730+s020.01740</f>
        <v>1</v>
      </c>
      <c r="P61" s="7" t="s">
        <v>417</v>
      </c>
    </row>
    <row r="62" spans="1:16" ht="11.25">
      <c r="A62" s="466"/>
      <c r="B62" s="467"/>
      <c r="C62" s="467"/>
      <c r="D62" s="459"/>
      <c r="E62" s="463"/>
      <c r="F62" s="459"/>
      <c r="G62" s="463"/>
      <c r="H62" s="459"/>
      <c r="I62" s="463"/>
      <c r="J62" s="459"/>
      <c r="K62" s="469"/>
      <c r="N62" s="11" t="s">
        <v>1170</v>
      </c>
      <c r="O62" s="12" t="b">
        <f>s020.02700=s020.02710+s020.02720+s020.02730+s020.02740</f>
        <v>1</v>
      </c>
      <c r="P62" s="2" t="s">
        <v>417</v>
      </c>
    </row>
    <row r="63" spans="1:16" s="7" customFormat="1" ht="11.25">
      <c r="A63" s="29" t="s">
        <v>481</v>
      </c>
      <c r="B63" s="31"/>
      <c r="C63" s="31"/>
      <c r="D63" s="4" t="s">
        <v>1611</v>
      </c>
      <c r="E63" s="451"/>
      <c r="F63" s="389">
        <f t="shared" si="0"/>
        <v>1950</v>
      </c>
      <c r="G63" s="451"/>
      <c r="H63" s="389">
        <f>1000+F63</f>
        <v>2950</v>
      </c>
      <c r="I63" s="451"/>
      <c r="J63" s="389">
        <f t="shared" si="1"/>
        <v>3950</v>
      </c>
      <c r="K63" s="451"/>
      <c r="L63" s="25"/>
      <c r="N63" s="11" t="s">
        <v>1171</v>
      </c>
      <c r="O63" s="12" t="b">
        <f>s020.03700=s020.03710+s020.03720+s020.03730+s020.03740</f>
        <v>1</v>
      </c>
      <c r="P63" s="7" t="s">
        <v>417</v>
      </c>
    </row>
    <row r="64" spans="1:16" ht="14.25" customHeight="1">
      <c r="A64" s="466"/>
      <c r="B64" s="467"/>
      <c r="C64" s="467"/>
      <c r="D64" s="459"/>
      <c r="E64" s="460"/>
      <c r="F64" s="459"/>
      <c r="G64" s="460"/>
      <c r="H64" s="459"/>
      <c r="I64" s="470"/>
      <c r="J64" s="459"/>
      <c r="K64" s="464"/>
      <c r="N64" s="11" t="s">
        <v>1172</v>
      </c>
      <c r="O64" s="12" t="b">
        <f>s020.00900=s020.00100+s020.00200+s020.00300+s020.00400+s020.00500+s020.00600+s020.00700+s020.00750+s020.00800+s020.00850</f>
        <v>1</v>
      </c>
      <c r="P64" s="2" t="s">
        <v>417</v>
      </c>
    </row>
    <row r="65" spans="1:16" s="7" customFormat="1" ht="14.25" customHeight="1">
      <c r="A65" s="29" t="s">
        <v>1683</v>
      </c>
      <c r="B65" s="31"/>
      <c r="C65" s="31"/>
      <c r="D65" s="4" t="s">
        <v>1082</v>
      </c>
      <c r="E65" s="456"/>
      <c r="F65" s="389" t="s">
        <v>137</v>
      </c>
      <c r="G65" s="450"/>
      <c r="H65" s="389">
        <f>1000+F65</f>
        <v>5000</v>
      </c>
      <c r="I65" s="450">
        <v>0</v>
      </c>
      <c r="J65" s="389">
        <f t="shared" si="1"/>
        <v>6000</v>
      </c>
      <c r="K65" s="457">
        <v>0</v>
      </c>
      <c r="L65" s="25"/>
      <c r="N65" s="11" t="s">
        <v>1173</v>
      </c>
      <c r="O65" s="12" t="b">
        <f>s020.01900=s020.01100+s020.01200+s020.01300+s020.01400+s020.01500+s020.01600+s020.01700+s020.01750+s020.01800+s020.01850</f>
        <v>1</v>
      </c>
      <c r="P65" s="7" t="s">
        <v>417</v>
      </c>
    </row>
    <row r="66" spans="5:16" ht="12" customHeight="1">
      <c r="E66" s="324"/>
      <c r="G66" s="324"/>
      <c r="I66" s="324"/>
      <c r="K66" s="324"/>
      <c r="N66" s="11" t="s">
        <v>1174</v>
      </c>
      <c r="O66" s="12" t="b">
        <f>s020.02900=s020.02100+s020.02200+s020.02300+s020.02400+s020.02500+s020.02600+s020.02700+s020.02750+s020.02800+s020.02850</f>
        <v>1</v>
      </c>
      <c r="P66" s="2" t="s">
        <v>417</v>
      </c>
    </row>
    <row r="67" spans="5:16" ht="12" customHeight="1">
      <c r="E67" s="324"/>
      <c r="G67" s="324"/>
      <c r="I67" s="324"/>
      <c r="K67" s="324"/>
      <c r="N67" s="11" t="s">
        <v>1175</v>
      </c>
      <c r="O67" s="12" t="b">
        <f>s020.03900=s020.03100+s020.03200+s020.03300+s020.03400+s020.03500+s020.03600+s020.03700+s020.03750+s020.03800+s020.03850</f>
        <v>1</v>
      </c>
      <c r="P67" s="2" t="s">
        <v>417</v>
      </c>
    </row>
    <row r="68" spans="5:16" ht="11.25">
      <c r="E68" s="324"/>
      <c r="G68" s="324"/>
      <c r="I68" s="324"/>
      <c r="N68" s="11" t="s">
        <v>1176</v>
      </c>
      <c r="O68" s="12" t="b">
        <f>s020.03000=s020.00900+s020.00950</f>
        <v>1</v>
      </c>
      <c r="P68" s="2" t="s">
        <v>417</v>
      </c>
    </row>
    <row r="69" spans="5:16" ht="11.25">
      <c r="E69" s="324"/>
      <c r="G69" s="324"/>
      <c r="I69" s="324"/>
      <c r="N69" s="11" t="s">
        <v>1177</v>
      </c>
      <c r="O69" s="12" t="b">
        <f>s020.04000=s020.01900+s020.01950</f>
        <v>1</v>
      </c>
      <c r="P69" s="2" t="s">
        <v>417</v>
      </c>
    </row>
    <row r="70" spans="5:16" ht="11.25">
      <c r="E70" s="324"/>
      <c r="G70" s="324"/>
      <c r="I70" s="324"/>
      <c r="N70" s="11" t="s">
        <v>1178</v>
      </c>
      <c r="O70" s="12" t="b">
        <f>s020.05000=s020.02900+s020.02950</f>
        <v>1</v>
      </c>
      <c r="P70" s="2" t="s">
        <v>417</v>
      </c>
    </row>
    <row r="71" spans="5:16" ht="11.25">
      <c r="E71" s="324"/>
      <c r="G71" s="324"/>
      <c r="I71" s="324"/>
      <c r="N71" s="11" t="s">
        <v>1179</v>
      </c>
      <c r="O71" s="12" t="b">
        <f>s020.06000=s020.03900+s020.03950</f>
        <v>1</v>
      </c>
      <c r="P71" s="2" t="s">
        <v>417</v>
      </c>
    </row>
    <row r="72" spans="7:9" ht="11.25">
      <c r="G72" s="324"/>
      <c r="I72" s="324"/>
    </row>
    <row r="73" spans="7:9" ht="11.25">
      <c r="G73" s="324"/>
      <c r="I73" s="324"/>
    </row>
    <row r="74" spans="7:9" ht="11.25">
      <c r="G74" s="324"/>
      <c r="I74" s="324"/>
    </row>
    <row r="75" spans="7:9" ht="11.25">
      <c r="G75" s="324"/>
      <c r="I75" s="324"/>
    </row>
    <row r="76" ht="11.25">
      <c r="I76" s="324"/>
    </row>
    <row r="77" ht="11.25">
      <c r="I77" s="324"/>
    </row>
    <row r="78" ht="11.25">
      <c r="I78" s="324"/>
    </row>
    <row r="79" ht="11.25">
      <c r="I79" s="324"/>
    </row>
    <row r="80" ht="11.25">
      <c r="I80" s="324"/>
    </row>
    <row r="81" ht="11.25">
      <c r="I81" s="324"/>
    </row>
    <row r="82" ht="11.25">
      <c r="I82" s="324"/>
    </row>
    <row r="83" ht="11.25">
      <c r="I83" s="324"/>
    </row>
    <row r="84" ht="11.25">
      <c r="I84" s="324"/>
    </row>
    <row r="85" ht="11.25">
      <c r="I85" s="324"/>
    </row>
    <row r="86" ht="11.25">
      <c r="I86" s="324"/>
    </row>
    <row r="87" ht="11.25">
      <c r="I87" s="324"/>
    </row>
    <row r="88" ht="11.25">
      <c r="I88" s="324"/>
    </row>
    <row r="89" ht="11.25">
      <c r="I89" s="324"/>
    </row>
    <row r="90" ht="11.25">
      <c r="I90" s="324"/>
    </row>
    <row r="91" ht="11.25">
      <c r="I91" s="324"/>
    </row>
    <row r="92" ht="11.25">
      <c r="I92" s="324"/>
    </row>
    <row r="93" ht="11.25">
      <c r="I93" s="324"/>
    </row>
    <row r="94" ht="11.25">
      <c r="I94" s="324"/>
    </row>
    <row r="95" ht="11.25">
      <c r="I95" s="324"/>
    </row>
    <row r="96" ht="11.25">
      <c r="I96" s="324"/>
    </row>
    <row r="97" ht="11.25">
      <c r="I97" s="324"/>
    </row>
    <row r="98" ht="11.25">
      <c r="I98" s="324"/>
    </row>
    <row r="99" ht="11.25">
      <c r="I99" s="324"/>
    </row>
    <row r="100" ht="11.25">
      <c r="I100" s="324"/>
    </row>
    <row r="101" ht="11.25">
      <c r="I101" s="324"/>
    </row>
    <row r="102" ht="11.25">
      <c r="I102" s="324"/>
    </row>
    <row r="103" ht="11.25">
      <c r="I103" s="324"/>
    </row>
    <row r="104" ht="11.25">
      <c r="I104" s="324"/>
    </row>
    <row r="105" ht="11.25">
      <c r="I105" s="324"/>
    </row>
    <row r="106" ht="11.25">
      <c r="I106" s="324"/>
    </row>
    <row r="107" ht="11.25">
      <c r="I107" s="324"/>
    </row>
    <row r="108" ht="11.25">
      <c r="I108" s="324"/>
    </row>
    <row r="109" ht="11.25">
      <c r="I109" s="324"/>
    </row>
    <row r="110" ht="11.25">
      <c r="I110" s="324"/>
    </row>
    <row r="111" ht="11.25">
      <c r="I111" s="324"/>
    </row>
    <row r="112" ht="11.25">
      <c r="I112" s="324"/>
    </row>
    <row r="113" ht="11.25">
      <c r="I113" s="324"/>
    </row>
    <row r="114" ht="11.25">
      <c r="I114" s="324"/>
    </row>
  </sheetData>
  <sheetProtection password="CE28" sheet="1" objects="1" scenarios="1"/>
  <mergeCells count="7">
    <mergeCell ref="A1:H1"/>
    <mergeCell ref="A8:B8"/>
    <mergeCell ref="C4:K4"/>
    <mergeCell ref="C5:K5"/>
    <mergeCell ref="C6:K6"/>
    <mergeCell ref="C7:K7"/>
    <mergeCell ref="C8:K8"/>
  </mergeCells>
  <conditionalFormatting sqref="I18">
    <cfRule type="expression" priority="1" dxfId="0" stopIfTrue="1">
      <formula>NOT(O4)</formula>
    </cfRule>
  </conditionalFormatting>
  <conditionalFormatting sqref="K18">
    <cfRule type="expression" priority="2" dxfId="0" stopIfTrue="1">
      <formula>NOT(O5)</formula>
    </cfRule>
  </conditionalFormatting>
  <conditionalFormatting sqref="I19">
    <cfRule type="expression" priority="3" dxfId="0" stopIfTrue="1">
      <formula>NOT(O6)</formula>
    </cfRule>
  </conditionalFormatting>
  <conditionalFormatting sqref="K19">
    <cfRule type="expression" priority="4" dxfId="0" stopIfTrue="1">
      <formula>NOT(O7)</formula>
    </cfRule>
  </conditionalFormatting>
  <conditionalFormatting sqref="I20">
    <cfRule type="expression" priority="5" dxfId="0" stopIfTrue="1">
      <formula>NOT(O8)</formula>
    </cfRule>
  </conditionalFormatting>
  <conditionalFormatting sqref="K20">
    <cfRule type="expression" priority="6" dxfId="0" stopIfTrue="1">
      <formula>NOT(O9)</formula>
    </cfRule>
  </conditionalFormatting>
  <conditionalFormatting sqref="I35">
    <cfRule type="expression" priority="7" dxfId="0" stopIfTrue="1">
      <formula>NOT(O12)</formula>
    </cfRule>
  </conditionalFormatting>
  <conditionalFormatting sqref="K35">
    <cfRule type="expression" priority="8" dxfId="0" stopIfTrue="1">
      <formula>NOT(O13)</formula>
    </cfRule>
  </conditionalFormatting>
  <conditionalFormatting sqref="I36">
    <cfRule type="expression" priority="9" dxfId="0" stopIfTrue="1">
      <formula>NOT(O14)</formula>
    </cfRule>
  </conditionalFormatting>
  <conditionalFormatting sqref="K36">
    <cfRule type="expression" priority="10" dxfId="0" stopIfTrue="1">
      <formula>NOT(O15)</formula>
    </cfRule>
  </conditionalFormatting>
  <conditionalFormatting sqref="I37 I41">
    <cfRule type="expression" priority="11" dxfId="0" stopIfTrue="1">
      <formula>NOT(O16)</formula>
    </cfRule>
  </conditionalFormatting>
  <conditionalFormatting sqref="K37 K41">
    <cfRule type="expression" priority="12" dxfId="0" stopIfTrue="1">
      <formula>NOT(O17)</formula>
    </cfRule>
  </conditionalFormatting>
  <conditionalFormatting sqref="I38 I42">
    <cfRule type="expression" priority="13" dxfId="0" stopIfTrue="1">
      <formula>NOT(O18)</formula>
    </cfRule>
  </conditionalFormatting>
  <conditionalFormatting sqref="K38 K42">
    <cfRule type="expression" priority="14" dxfId="0" stopIfTrue="1">
      <formula>NOT(O19)</formula>
    </cfRule>
  </conditionalFormatting>
  <conditionalFormatting sqref="I43">
    <cfRule type="expression" priority="15" dxfId="0" stopIfTrue="1">
      <formula>NOT(O24)</formula>
    </cfRule>
  </conditionalFormatting>
  <conditionalFormatting sqref="K43">
    <cfRule type="expression" priority="16" dxfId="0" stopIfTrue="1">
      <formula>NOT(O25)</formula>
    </cfRule>
  </conditionalFormatting>
  <conditionalFormatting sqref="I44">
    <cfRule type="expression" priority="17" dxfId="0" stopIfTrue="1">
      <formula>NOT(O26)</formula>
    </cfRule>
  </conditionalFormatting>
  <conditionalFormatting sqref="K44">
    <cfRule type="expression" priority="18" dxfId="0" stopIfTrue="1">
      <formula>NOT(O27)</formula>
    </cfRule>
  </conditionalFormatting>
  <conditionalFormatting sqref="I45">
    <cfRule type="expression" priority="19" dxfId="0" stopIfTrue="1">
      <formula>NOT(O28)</formula>
    </cfRule>
  </conditionalFormatting>
  <conditionalFormatting sqref="K45">
    <cfRule type="expression" priority="20" dxfId="0" stopIfTrue="1">
      <formula>NOT(O29)</formula>
    </cfRule>
  </conditionalFormatting>
  <conditionalFormatting sqref="I46">
    <cfRule type="expression" priority="21" dxfId="0" stopIfTrue="1">
      <formula>NOT(O30)</formula>
    </cfRule>
  </conditionalFormatting>
  <conditionalFormatting sqref="K46">
    <cfRule type="expression" priority="22" dxfId="0" stopIfTrue="1">
      <formula>NOT(O31)</formula>
    </cfRule>
  </conditionalFormatting>
  <conditionalFormatting sqref="E12 E24">
    <cfRule type="expression" priority="23" dxfId="0" stopIfTrue="1">
      <formula>NOT(O32)</formula>
    </cfRule>
  </conditionalFormatting>
  <conditionalFormatting sqref="G12 G24">
    <cfRule type="expression" priority="24" dxfId="0" stopIfTrue="1">
      <formula>NOT(O33)</formula>
    </cfRule>
  </conditionalFormatting>
  <conditionalFormatting sqref="I12 I24">
    <cfRule type="expression" priority="25" dxfId="0" stopIfTrue="1">
      <formula>NOT(O34)</formula>
    </cfRule>
  </conditionalFormatting>
  <conditionalFormatting sqref="K12 K24">
    <cfRule type="expression" priority="26" dxfId="0" stopIfTrue="1">
      <formula>NOT(O35)</formula>
    </cfRule>
  </conditionalFormatting>
  <conditionalFormatting sqref="E17">
    <cfRule type="expression" priority="27" dxfId="0" stopIfTrue="1">
      <formula>NOT(O36)</formula>
    </cfRule>
  </conditionalFormatting>
  <conditionalFormatting sqref="G17">
    <cfRule type="expression" priority="28" dxfId="0" stopIfTrue="1">
      <formula>NOT(O37)</formula>
    </cfRule>
  </conditionalFormatting>
  <conditionalFormatting sqref="E22">
    <cfRule type="expression" priority="29" dxfId="0" stopIfTrue="1">
      <formula>NOT(O40)</formula>
    </cfRule>
  </conditionalFormatting>
  <conditionalFormatting sqref="G22">
    <cfRule type="expression" priority="30" dxfId="0" stopIfTrue="1">
      <formula>NOT(O41)</formula>
    </cfRule>
  </conditionalFormatting>
  <conditionalFormatting sqref="I22">
    <cfRule type="expression" priority="31" dxfId="0" stopIfTrue="1">
      <formula>NOT(O42)</formula>
    </cfRule>
  </conditionalFormatting>
  <conditionalFormatting sqref="K22">
    <cfRule type="expression" priority="32" dxfId="0" stopIfTrue="1">
      <formula>NOT(O43)</formula>
    </cfRule>
  </conditionalFormatting>
  <conditionalFormatting sqref="E34">
    <cfRule type="expression" priority="33" dxfId="0" stopIfTrue="1">
      <formula>NOT(O48)</formula>
    </cfRule>
  </conditionalFormatting>
  <conditionalFormatting sqref="G34">
    <cfRule type="expression" priority="34" dxfId="0" stopIfTrue="1">
      <formula>NOT(O49)</formula>
    </cfRule>
  </conditionalFormatting>
  <conditionalFormatting sqref="E40">
    <cfRule type="expression" priority="35" dxfId="0" stopIfTrue="1">
      <formula>NOT(O52)</formula>
    </cfRule>
  </conditionalFormatting>
  <conditionalFormatting sqref="G40">
    <cfRule type="expression" priority="36" dxfId="0" stopIfTrue="1">
      <formula>NOT(O53)</formula>
    </cfRule>
  </conditionalFormatting>
  <conditionalFormatting sqref="I49">
    <cfRule type="expression" priority="37" dxfId="0" stopIfTrue="1">
      <formula>NOT(O62)</formula>
    </cfRule>
  </conditionalFormatting>
  <conditionalFormatting sqref="K49">
    <cfRule type="expression" priority="38" dxfId="0" stopIfTrue="1">
      <formula>NOT(O63)</formula>
    </cfRule>
  </conditionalFormatting>
  <conditionalFormatting sqref="K40">
    <cfRule type="expression" priority="39" dxfId="0" stopIfTrue="1">
      <formula>NOT(O55)</formula>
    </cfRule>
  </conditionalFormatting>
  <conditionalFormatting sqref="I40">
    <cfRule type="expression" priority="40" dxfId="0" stopIfTrue="1">
      <formula>NOT(O54)</formula>
    </cfRule>
  </conditionalFormatting>
  <conditionalFormatting sqref="E33">
    <cfRule type="expression" priority="41" dxfId="0" stopIfTrue="1">
      <formula>NOT(O56)</formula>
    </cfRule>
  </conditionalFormatting>
  <conditionalFormatting sqref="G33">
    <cfRule type="expression" priority="42" dxfId="0" stopIfTrue="1">
      <formula>NOT(O57)</formula>
    </cfRule>
  </conditionalFormatting>
  <conditionalFormatting sqref="I33">
    <cfRule type="expression" priority="43" dxfId="0" stopIfTrue="1">
      <formula>NOT(O58)</formula>
    </cfRule>
  </conditionalFormatting>
  <conditionalFormatting sqref="K33">
    <cfRule type="expression" priority="44" dxfId="0" stopIfTrue="1">
      <formula>NOT(O59)</formula>
    </cfRule>
  </conditionalFormatting>
  <conditionalFormatting sqref="E49">
    <cfRule type="expression" priority="45" dxfId="0" stopIfTrue="1">
      <formula>NOT(O60)</formula>
    </cfRule>
  </conditionalFormatting>
  <conditionalFormatting sqref="G49">
    <cfRule type="expression" priority="46" dxfId="0" stopIfTrue="1">
      <formula>NOT(O61)</formula>
    </cfRule>
  </conditionalFormatting>
  <conditionalFormatting sqref="E61 E65">
    <cfRule type="expression" priority="47" dxfId="0" stopIfTrue="1">
      <formula>NOT(O64)</formula>
    </cfRule>
  </conditionalFormatting>
  <conditionalFormatting sqref="G61 G65">
    <cfRule type="expression" priority="48" dxfId="0" stopIfTrue="1">
      <formula>NOT(O65)</formula>
    </cfRule>
  </conditionalFormatting>
  <conditionalFormatting sqref="I61 I65">
    <cfRule type="expression" priority="49" dxfId="0" stopIfTrue="1">
      <formula>NOT(O66)</formula>
    </cfRule>
  </conditionalFormatting>
  <conditionalFormatting sqref="K61 K65">
    <cfRule type="expression" priority="50" dxfId="0" stopIfTrue="1">
      <formula>NOT(O67)</formula>
    </cfRule>
  </conditionalFormatting>
  <conditionalFormatting sqref="I17">
    <cfRule type="expression" priority="51" dxfId="0" stopIfTrue="1">
      <formula>NOT(O2)</formula>
    </cfRule>
    <cfRule type="expression" priority="52" dxfId="0" stopIfTrue="1">
      <formula>NOT(O38)</formula>
    </cfRule>
  </conditionalFormatting>
  <conditionalFormatting sqref="K17">
    <cfRule type="expression" priority="53" dxfId="0" stopIfTrue="1">
      <formula>NOT(O3)</formula>
    </cfRule>
    <cfRule type="expression" priority="54" dxfId="0" stopIfTrue="1">
      <formula>NOT(O39)</formula>
    </cfRule>
  </conditionalFormatting>
  <conditionalFormatting sqref="I34">
    <cfRule type="expression" priority="55" dxfId="0" stopIfTrue="1">
      <formula>NOT(O10)</formula>
    </cfRule>
    <cfRule type="expression" priority="56" dxfId="0" stopIfTrue="1">
      <formula>NOT(O50)</formula>
    </cfRule>
  </conditionalFormatting>
  <conditionalFormatting sqref="K34">
    <cfRule type="expression" priority="57" dxfId="0" stopIfTrue="1">
      <formula>NOT(O11)</formula>
    </cfRule>
    <cfRule type="expression" priority="58" dxfId="0" stopIfTrue="1">
      <formula>NOT(O51)</formula>
    </cfRule>
  </conditionalFormatting>
  <conditionalFormatting sqref="O2:O71">
    <cfRule type="cellIs" priority="59" dxfId="0" operator="equal" stopIfTrue="1">
      <formula>FALSE</formula>
    </cfRule>
  </conditionalFormatting>
  <dataValidations count="1">
    <dataValidation type="whole" operator="lessThanOrEqual" allowBlank="1" showInputMessage="1" showErrorMessage="1" errorTitle="Celda de Tipo Numérico Entero" sqref="E12:E15 G12:G15 I12:I15 K12:K15 K17:K20 I17:I20 G17:G20 E17:E20 E22 G22 I22 K22 K24:K27 I24:I27 G24:G27 E24:E27 E29 G29 I29 K29 K31 I31 G31 E31 E33:E47 G33:G47 I33:I47 K33:K47 K49:K53 I49:I53 G49:G53 E49:E53 E55 E57 E59 E61 E63 E65 G65 G63 G61 G59 G57 G55 I55 K55 K57 I57 I59 K59 I61 K65 K61:K63 I63:I65">
      <formula1>9.99999999999999E+33</formula1>
    </dataValidation>
  </dataValidations>
  <printOptions horizontalCentered="1"/>
  <pageMargins left="0.5905511811023623" right="0.35" top="0.3937007874015748" bottom="0.3937007874015748" header="0" footer="0.3937007874015748"/>
  <pageSetup horizontalDpi="600" verticalDpi="600" orientation="portrait" paperSize="9" scale="54" r:id="rId2"/>
  <legacyDrawing r:id="rId1"/>
</worksheet>
</file>

<file path=xl/worksheets/sheet4.xml><?xml version="1.0" encoding="utf-8"?>
<worksheet xmlns="http://schemas.openxmlformats.org/spreadsheetml/2006/main" xmlns:r="http://schemas.openxmlformats.org/officeDocument/2006/relationships">
  <sheetPr codeName="Hoja3"/>
  <dimension ref="A1:K102"/>
  <sheetViews>
    <sheetView zoomScale="90" zoomScaleNormal="90" zoomScaleSheetLayoutView="75" workbookViewId="0" topLeftCell="A1">
      <selection activeCell="E22" sqref="E22"/>
    </sheetView>
  </sheetViews>
  <sheetFormatPr defaultColWidth="11.421875" defaultRowHeight="12.75"/>
  <cols>
    <col min="1" max="1" width="9.28125" style="186" customWidth="1"/>
    <col min="2" max="2" width="14.28125" style="187" customWidth="1"/>
    <col min="3" max="3" width="59.28125" style="2" customWidth="1"/>
    <col min="4" max="4" width="5.140625" style="8" customWidth="1"/>
    <col min="5" max="5" width="21.140625" style="2" customWidth="1"/>
    <col min="6" max="6" width="5.00390625" style="8" customWidth="1"/>
    <col min="7" max="7" width="21.140625" style="2" customWidth="1"/>
    <col min="8" max="8" width="19.7109375" style="2" hidden="1" customWidth="1"/>
    <col min="9" max="9" width="75.8515625" style="39" hidden="1" customWidth="1"/>
    <col min="10" max="10" width="13.00390625" style="2" hidden="1" customWidth="1"/>
    <col min="11" max="11" width="3.421875" style="2" hidden="1" customWidth="1"/>
    <col min="12" max="16384" width="9.140625" style="2" customWidth="1"/>
  </cols>
  <sheetData>
    <row r="1" spans="1:10" ht="40.5" customHeight="1">
      <c r="A1" s="723" t="s">
        <v>897</v>
      </c>
      <c r="B1" s="723"/>
      <c r="C1" s="723"/>
      <c r="D1" s="723"/>
      <c r="E1" s="723"/>
      <c r="F1" s="723"/>
      <c r="G1" s="723"/>
      <c r="H1" s="706"/>
      <c r="I1" s="10" t="s">
        <v>1391</v>
      </c>
      <c r="J1" s="10" t="s">
        <v>1392</v>
      </c>
    </row>
    <row r="2" spans="1:11" ht="11.25">
      <c r="A2" s="188"/>
      <c r="B2" s="191"/>
      <c r="C2" s="192"/>
      <c r="D2" s="234"/>
      <c r="E2" s="157"/>
      <c r="F2" s="234"/>
      <c r="G2" s="235" t="s">
        <v>1712</v>
      </c>
      <c r="I2" s="11" t="s">
        <v>1224</v>
      </c>
      <c r="J2" s="12" t="b">
        <f>s030.08990=s030.09900</f>
        <v>0</v>
      </c>
      <c r="K2" s="2" t="s">
        <v>417</v>
      </c>
    </row>
    <row r="3" spans="1:11" ht="11.25">
      <c r="A3" s="26"/>
      <c r="B3" s="27"/>
      <c r="C3" s="27"/>
      <c r="D3" s="48"/>
      <c r="E3" s="48"/>
      <c r="F3" s="48"/>
      <c r="I3" s="11" t="s">
        <v>1225</v>
      </c>
      <c r="J3" s="12" t="b">
        <f>s030.08800=s030.08990-s030.08900</f>
        <v>1</v>
      </c>
      <c r="K3" s="2" t="s">
        <v>417</v>
      </c>
    </row>
    <row r="4" spans="1:11" ht="11.25">
      <c r="A4" s="6" t="s">
        <v>1588</v>
      </c>
      <c r="B4" s="211"/>
      <c r="C4" s="725" t="str">
        <f>IF(ISBLANK(s000.00100),"",s000.00100)</f>
        <v>F.T.A. SANTANDER FINANCIACION 3</v>
      </c>
      <c r="D4" s="718"/>
      <c r="E4" s="718"/>
      <c r="F4" s="718"/>
      <c r="G4" s="719"/>
      <c r="I4" s="11" t="s">
        <v>1226</v>
      </c>
      <c r="J4" s="12" t="b">
        <f>s030.09800=s030.09990-s030.09900</f>
        <v>1</v>
      </c>
      <c r="K4" s="2" t="s">
        <v>417</v>
      </c>
    </row>
    <row r="5" spans="1:11" ht="11.25">
      <c r="A5" s="6" t="s">
        <v>1589</v>
      </c>
      <c r="B5" s="211"/>
      <c r="C5" s="725">
        <f>IF(ISBLANK(s000.00130),"",s000.00130)</f>
      </c>
      <c r="D5" s="718"/>
      <c r="E5" s="718"/>
      <c r="F5" s="718"/>
      <c r="G5" s="719"/>
      <c r="I5" s="11" t="s">
        <v>1227</v>
      </c>
      <c r="J5" s="12" t="b">
        <f>s030.08990=s010.00460</f>
        <v>1</v>
      </c>
      <c r="K5" s="2" t="s">
        <v>417</v>
      </c>
    </row>
    <row r="6" spans="1:11" ht="11.25">
      <c r="A6" s="6" t="s">
        <v>1590</v>
      </c>
      <c r="B6" s="211"/>
      <c r="C6" s="725" t="str">
        <f>IF(ISBLANK(s000.00150),"",s000.00150)</f>
        <v>Santander de Titulizacion S.G.F.T., S.A</v>
      </c>
      <c r="D6" s="718"/>
      <c r="E6" s="718"/>
      <c r="F6" s="718"/>
      <c r="G6" s="719"/>
      <c r="H6" s="15"/>
      <c r="I6" s="11" t="s">
        <v>1228</v>
      </c>
      <c r="J6" s="12" t="b">
        <f>IF(NOT(ISBLANK(s030.08120)),s030.08120&lt;0,TRUE)</f>
        <v>1</v>
      </c>
      <c r="K6" s="2" t="s">
        <v>417</v>
      </c>
    </row>
    <row r="7" spans="1:11" ht="11.25">
      <c r="A7" s="6" t="s">
        <v>2233</v>
      </c>
      <c r="B7" s="211"/>
      <c r="C7" s="725" t="str">
        <f>IF(ISBLANK(s000.00170),"",s000.00170)</f>
        <v>No</v>
      </c>
      <c r="D7" s="718"/>
      <c r="E7" s="718"/>
      <c r="F7" s="718"/>
      <c r="G7" s="719"/>
      <c r="H7" s="15"/>
      <c r="I7" s="11" t="s">
        <v>1229</v>
      </c>
      <c r="J7" s="12" t="b">
        <f>IF(NOT(ISBLANK(s030.09120)),s030.09120&lt;0,TRUE)</f>
        <v>1</v>
      </c>
      <c r="K7" s="2" t="s">
        <v>417</v>
      </c>
    </row>
    <row r="8" spans="1:11" ht="11.25">
      <c r="A8" s="726" t="s">
        <v>2232</v>
      </c>
      <c r="B8" s="724"/>
      <c r="C8" s="725" t="str">
        <f>IF(ISBLANK(s000.00180),"",s000.00180)</f>
        <v>Primer Semestre</v>
      </c>
      <c r="D8" s="718"/>
      <c r="E8" s="718"/>
      <c r="F8" s="718"/>
      <c r="G8" s="719"/>
      <c r="I8" s="11" t="s">
        <v>1230</v>
      </c>
      <c r="J8" s="12" t="b">
        <f>IF(NOT(ISBLANK(s030.08150)),s030.08150&lt;0,TRUE)</f>
        <v>1</v>
      </c>
      <c r="K8" s="2" t="s">
        <v>417</v>
      </c>
    </row>
    <row r="9" spans="1:11" ht="11.25">
      <c r="A9" s="26"/>
      <c r="B9" s="27"/>
      <c r="C9" s="27"/>
      <c r="D9" s="48"/>
      <c r="E9" s="27"/>
      <c r="F9" s="48"/>
      <c r="G9" s="27"/>
      <c r="I9" s="11" t="s">
        <v>1231</v>
      </c>
      <c r="J9" s="12" t="b">
        <f>IF(NOT(ISBLANK(s030.09150)),s030.09150&lt;0,TRUE)</f>
        <v>1</v>
      </c>
      <c r="K9" s="2" t="s">
        <v>417</v>
      </c>
    </row>
    <row r="10" spans="1:11" ht="22.5">
      <c r="A10" s="188" t="s">
        <v>582</v>
      </c>
      <c r="B10" s="189"/>
      <c r="C10" s="190"/>
      <c r="D10" s="24"/>
      <c r="E10" s="141" t="s">
        <v>925</v>
      </c>
      <c r="F10" s="24"/>
      <c r="G10" s="142" t="s">
        <v>926</v>
      </c>
      <c r="H10" s="21"/>
      <c r="I10" s="11" t="s">
        <v>1232</v>
      </c>
      <c r="J10" s="12" t="b">
        <f>IF(NOT(ISBLANK(s030.08200)),s030.08200&lt;0,TRUE)</f>
        <v>1</v>
      </c>
      <c r="K10" s="2" t="s">
        <v>417</v>
      </c>
    </row>
    <row r="11" spans="1:11" ht="11.25">
      <c r="A11" s="521"/>
      <c r="B11" s="522"/>
      <c r="C11" s="523"/>
      <c r="D11" s="524"/>
      <c r="E11" s="217"/>
      <c r="F11" s="524"/>
      <c r="G11" s="532"/>
      <c r="I11" s="11" t="s">
        <v>1233</v>
      </c>
      <c r="J11" s="12" t="b">
        <f>IF(NOT(ISBLANK(s030.09200)),s030.09200&lt;0,TRUE)</f>
        <v>1</v>
      </c>
      <c r="K11" s="2" t="s">
        <v>417</v>
      </c>
    </row>
    <row r="12" spans="1:11" ht="11.25">
      <c r="A12" s="188" t="s">
        <v>61</v>
      </c>
      <c r="B12" s="191"/>
      <c r="C12" s="192"/>
      <c r="D12" s="472" t="s">
        <v>138</v>
      </c>
      <c r="E12" s="471">
        <v>7887000</v>
      </c>
      <c r="F12" s="472">
        <f aca="true" t="shared" si="0" ref="F12:F58">1000+D12</f>
        <v>9000</v>
      </c>
      <c r="G12" s="471">
        <v>9011000</v>
      </c>
      <c r="H12" s="194"/>
      <c r="I12" s="11" t="s">
        <v>1234</v>
      </c>
      <c r="J12" s="12" t="b">
        <f>IF(NOT(ISBLANK(s030.08210)),s030.08210&lt;0,TRUE)</f>
        <v>1</v>
      </c>
      <c r="K12" s="2" t="s">
        <v>417</v>
      </c>
    </row>
    <row r="13" spans="1:11" ht="11.25">
      <c r="A13" s="521"/>
      <c r="B13" s="522"/>
      <c r="C13" s="523"/>
      <c r="D13" s="524"/>
      <c r="E13" s="530"/>
      <c r="F13" s="524"/>
      <c r="G13" s="531"/>
      <c r="I13" s="11" t="s">
        <v>1235</v>
      </c>
      <c r="J13" s="12" t="b">
        <f>IF(NOT(ISBLANK(s030.09210)),s030.09210&lt;0,TRUE)</f>
        <v>1</v>
      </c>
      <c r="K13" s="2" t="s">
        <v>417</v>
      </c>
    </row>
    <row r="14" spans="1:11" ht="11.25">
      <c r="A14" s="238"/>
      <c r="B14" s="191" t="s">
        <v>1714</v>
      </c>
      <c r="C14" s="192"/>
      <c r="D14" s="472" t="s">
        <v>139</v>
      </c>
      <c r="E14" s="471">
        <v>5711000</v>
      </c>
      <c r="F14" s="472">
        <f t="shared" si="0"/>
        <v>9100</v>
      </c>
      <c r="G14" s="471">
        <v>4398000</v>
      </c>
      <c r="H14" s="194"/>
      <c r="I14" s="11" t="s">
        <v>1236</v>
      </c>
      <c r="J14" s="12" t="b">
        <f>IF(NOT(ISBLANK(s030.08220)),s030.08220&lt;0,TRUE)</f>
        <v>1</v>
      </c>
      <c r="K14" s="2" t="s">
        <v>417</v>
      </c>
    </row>
    <row r="15" spans="1:11" s="17" customFormat="1" ht="11.25">
      <c r="A15" s="239"/>
      <c r="B15" s="54"/>
      <c r="C15" s="240" t="s">
        <v>2382</v>
      </c>
      <c r="D15" s="195" t="s">
        <v>140</v>
      </c>
      <c r="E15" s="352">
        <v>12103000</v>
      </c>
      <c r="F15" s="195">
        <f t="shared" si="0"/>
        <v>9110</v>
      </c>
      <c r="G15" s="352">
        <v>41778000</v>
      </c>
      <c r="I15" s="11" t="s">
        <v>1237</v>
      </c>
      <c r="J15" s="12" t="b">
        <f>IF(NOT(ISBLANK(s030.09220)),s030.09220&lt;0,TRUE)</f>
        <v>1</v>
      </c>
      <c r="K15" s="17" t="s">
        <v>417</v>
      </c>
    </row>
    <row r="16" spans="1:11" s="17" customFormat="1" ht="11.25">
      <c r="A16" s="241"/>
      <c r="B16" s="77"/>
      <c r="C16" s="242" t="s">
        <v>1160</v>
      </c>
      <c r="D16" s="143" t="s">
        <v>141</v>
      </c>
      <c r="E16" s="353">
        <v>-3471000</v>
      </c>
      <c r="F16" s="143">
        <f t="shared" si="0"/>
        <v>9120</v>
      </c>
      <c r="G16" s="353">
        <v>-32176000</v>
      </c>
      <c r="H16" s="182"/>
      <c r="I16" s="11" t="s">
        <v>1238</v>
      </c>
      <c r="J16" s="12" t="b">
        <f>IF(NOT(ISBLANK(s030.08230)),s030.08230&lt;0,TRUE)</f>
        <v>1</v>
      </c>
      <c r="K16" s="17" t="s">
        <v>417</v>
      </c>
    </row>
    <row r="17" spans="1:11" s="17" customFormat="1" ht="11.25">
      <c r="A17" s="241"/>
      <c r="B17" s="77"/>
      <c r="C17" s="242" t="s">
        <v>1719</v>
      </c>
      <c r="D17" s="143" t="s">
        <v>142</v>
      </c>
      <c r="E17" s="353">
        <v>-3025000</v>
      </c>
      <c r="F17" s="143">
        <f t="shared" si="0"/>
        <v>9130</v>
      </c>
      <c r="G17" s="353">
        <v>-6423000</v>
      </c>
      <c r="H17" s="25"/>
      <c r="I17" s="11" t="s">
        <v>1239</v>
      </c>
      <c r="J17" s="12" t="b">
        <f>IF(NOT(ISBLANK(s030.09230)),s030.09230&lt;0,TRUE)</f>
        <v>1</v>
      </c>
      <c r="K17" s="17" t="s">
        <v>417</v>
      </c>
    </row>
    <row r="18" spans="1:11" s="17" customFormat="1" ht="11.25">
      <c r="A18" s="241"/>
      <c r="B18" s="77"/>
      <c r="C18" s="242" t="s">
        <v>521</v>
      </c>
      <c r="D18" s="143" t="s">
        <v>143</v>
      </c>
      <c r="E18" s="353">
        <v>104000</v>
      </c>
      <c r="F18" s="143">
        <f t="shared" si="0"/>
        <v>9140</v>
      </c>
      <c r="G18" s="353">
        <v>1229000</v>
      </c>
      <c r="I18" s="11" t="s">
        <v>1240</v>
      </c>
      <c r="J18" s="12" t="b">
        <f>IF(NOT(ISBLANK(s030.08240)),s030.08240&lt;0,TRUE)</f>
        <v>1</v>
      </c>
      <c r="K18" s="17" t="s">
        <v>417</v>
      </c>
    </row>
    <row r="19" spans="1:11" s="17" customFormat="1" ht="11.25">
      <c r="A19" s="241"/>
      <c r="B19" s="77"/>
      <c r="C19" s="242" t="s">
        <v>522</v>
      </c>
      <c r="D19" s="143" t="s">
        <v>144</v>
      </c>
      <c r="E19" s="353"/>
      <c r="F19" s="143">
        <f t="shared" si="0"/>
        <v>9150</v>
      </c>
      <c r="G19" s="353">
        <v>-10000</v>
      </c>
      <c r="H19" s="182"/>
      <c r="I19" s="11" t="s">
        <v>0</v>
      </c>
      <c r="J19" s="12" t="b">
        <f>IF(NOT(ISBLANK(s030.09240)),s030.09240&lt;0,TRUE)</f>
        <v>1</v>
      </c>
      <c r="K19" s="17" t="s">
        <v>417</v>
      </c>
    </row>
    <row r="20" spans="1:11" s="17" customFormat="1" ht="11.25">
      <c r="A20" s="243"/>
      <c r="B20" s="57"/>
      <c r="C20" s="244" t="s">
        <v>34</v>
      </c>
      <c r="D20" s="145" t="s">
        <v>145</v>
      </c>
      <c r="E20" s="354"/>
      <c r="F20" s="145">
        <f t="shared" si="0"/>
        <v>9160</v>
      </c>
      <c r="G20" s="354"/>
      <c r="H20" s="25"/>
      <c r="I20" s="11" t="s">
        <v>1</v>
      </c>
      <c r="J20" s="12" t="b">
        <f>IF(NOT(ISBLANK(s030.08250)),s030.08250&lt;0,TRUE)</f>
        <v>1</v>
      </c>
      <c r="K20" s="17" t="s">
        <v>417</v>
      </c>
    </row>
    <row r="21" spans="1:11" ht="11.25">
      <c r="A21" s="521"/>
      <c r="B21" s="522"/>
      <c r="C21" s="523"/>
      <c r="D21" s="524"/>
      <c r="E21" s="465"/>
      <c r="F21" s="524"/>
      <c r="G21" s="525"/>
      <c r="I21" s="11" t="s">
        <v>2</v>
      </c>
      <c r="J21" s="12" t="b">
        <f>IF(NOT(ISBLANK(s030.09250)),s030.09250&lt;0,TRUE)</f>
        <v>1</v>
      </c>
      <c r="K21" s="2" t="s">
        <v>417</v>
      </c>
    </row>
    <row r="22" spans="1:11" ht="11.25">
      <c r="A22" s="238"/>
      <c r="B22" s="191" t="s">
        <v>1715</v>
      </c>
      <c r="C22" s="192"/>
      <c r="D22" s="472" t="s">
        <v>146</v>
      </c>
      <c r="E22" s="471">
        <v>-65000</v>
      </c>
      <c r="F22" s="472">
        <f t="shared" si="0"/>
        <v>9200</v>
      </c>
      <c r="G22" s="471">
        <v>-194000</v>
      </c>
      <c r="H22" s="194"/>
      <c r="I22" s="11" t="s">
        <v>3</v>
      </c>
      <c r="J22" s="12" t="b">
        <f>IF(NOT(ISBLANK(s030.08320)),s030.08320&lt;0,TRUE)</f>
        <v>1</v>
      </c>
      <c r="K22" s="2" t="s">
        <v>417</v>
      </c>
    </row>
    <row r="23" spans="1:11" ht="11.25">
      <c r="A23" s="241"/>
      <c r="B23" s="77"/>
      <c r="C23" s="245" t="s">
        <v>35</v>
      </c>
      <c r="D23" s="195" t="s">
        <v>147</v>
      </c>
      <c r="E23" s="352">
        <v>-65000</v>
      </c>
      <c r="F23" s="195">
        <f t="shared" si="0"/>
        <v>9210</v>
      </c>
      <c r="G23" s="352">
        <v>-182000</v>
      </c>
      <c r="H23" s="182"/>
      <c r="I23" s="11" t="s">
        <v>4</v>
      </c>
      <c r="J23" s="12" t="b">
        <f>IF(NOT(ISBLANK(s030.09320)),s030.09320&lt;0,TRUE)</f>
        <v>1</v>
      </c>
      <c r="K23" s="2" t="s">
        <v>417</v>
      </c>
    </row>
    <row r="24" spans="1:11" ht="11.25">
      <c r="A24" s="241"/>
      <c r="B24" s="77"/>
      <c r="C24" s="245" t="s">
        <v>1161</v>
      </c>
      <c r="D24" s="143" t="s">
        <v>148</v>
      </c>
      <c r="E24" s="353"/>
      <c r="F24" s="143">
        <f t="shared" si="0"/>
        <v>9220</v>
      </c>
      <c r="G24" s="353">
        <v>-12000</v>
      </c>
      <c r="H24" s="182"/>
      <c r="I24" s="11" t="s">
        <v>5</v>
      </c>
      <c r="J24" s="12" t="b">
        <f>IF(NOT(ISBLANK(s030.08420)),s030.08420&lt;0,TRUE)</f>
        <v>1</v>
      </c>
      <c r="K24" s="2" t="s">
        <v>417</v>
      </c>
    </row>
    <row r="25" spans="1:11" ht="11.25">
      <c r="A25" s="241"/>
      <c r="B25" s="77"/>
      <c r="C25" s="245" t="s">
        <v>2438</v>
      </c>
      <c r="D25" s="143" t="s">
        <v>149</v>
      </c>
      <c r="E25" s="353"/>
      <c r="F25" s="143">
        <f t="shared" si="0"/>
        <v>9230</v>
      </c>
      <c r="G25" s="353"/>
      <c r="H25" s="182"/>
      <c r="I25" s="11" t="s">
        <v>6</v>
      </c>
      <c r="J25" s="12" t="b">
        <f>IF(NOT(ISBLANK(s030.09420)),s030.09420&lt;0,TRUE)</f>
        <v>1</v>
      </c>
      <c r="K25" s="2" t="s">
        <v>417</v>
      </c>
    </row>
    <row r="26" spans="1:11" ht="11.25">
      <c r="A26" s="241"/>
      <c r="B26" s="77"/>
      <c r="C26" s="245" t="s">
        <v>200</v>
      </c>
      <c r="D26" s="143" t="s">
        <v>150</v>
      </c>
      <c r="E26" s="353"/>
      <c r="F26" s="143">
        <f t="shared" si="0"/>
        <v>9240</v>
      </c>
      <c r="G26" s="353"/>
      <c r="H26" s="182"/>
      <c r="I26" s="11" t="s">
        <v>7</v>
      </c>
      <c r="J26" s="12" t="b">
        <f>IF(NOT(ISBLANK(s030.08500)),s030.08500&lt;0,TRUE)</f>
        <v>1</v>
      </c>
      <c r="K26" s="2" t="s">
        <v>417</v>
      </c>
    </row>
    <row r="27" spans="1:11" ht="11.25">
      <c r="A27" s="243"/>
      <c r="B27" s="57"/>
      <c r="C27" s="246" t="s">
        <v>2439</v>
      </c>
      <c r="D27" s="145" t="s">
        <v>151</v>
      </c>
      <c r="E27" s="354"/>
      <c r="F27" s="145">
        <f t="shared" si="0"/>
        <v>9250</v>
      </c>
      <c r="G27" s="354"/>
      <c r="H27" s="182"/>
      <c r="I27" s="11" t="s">
        <v>8</v>
      </c>
      <c r="J27" s="12" t="b">
        <f>IF(NOT(ISBLANK(s030.09500)),s030.09500&lt;0,TRUE)</f>
        <v>1</v>
      </c>
      <c r="K27" s="2" t="s">
        <v>417</v>
      </c>
    </row>
    <row r="28" spans="1:11" ht="11.25">
      <c r="A28" s="521"/>
      <c r="B28" s="522"/>
      <c r="C28" s="523"/>
      <c r="D28" s="524"/>
      <c r="E28" s="465"/>
      <c r="F28" s="524"/>
      <c r="G28" s="525"/>
      <c r="I28" s="11" t="s">
        <v>9</v>
      </c>
      <c r="J28" s="12" t="b">
        <f>IF(NOT(ISBLANK(s030.08510)),s030.08510&lt;0,TRUE)</f>
        <v>1</v>
      </c>
      <c r="K28" s="2" t="s">
        <v>417</v>
      </c>
    </row>
    <row r="29" spans="1:11" ht="11.25">
      <c r="A29" s="238"/>
      <c r="B29" s="191" t="s">
        <v>1716</v>
      </c>
      <c r="C29" s="190"/>
      <c r="D29" s="472" t="s">
        <v>152</v>
      </c>
      <c r="E29" s="471">
        <v>2241000</v>
      </c>
      <c r="F29" s="472">
        <f t="shared" si="0"/>
        <v>9300</v>
      </c>
      <c r="G29" s="471">
        <v>4807000</v>
      </c>
      <c r="H29" s="194"/>
      <c r="I29" s="11" t="s">
        <v>10</v>
      </c>
      <c r="J29" s="12" t="b">
        <f>IF(NOT(ISBLANK(s030.09510)),s030.09510&lt;0,TRUE)</f>
        <v>1</v>
      </c>
      <c r="K29" s="2" t="s">
        <v>417</v>
      </c>
    </row>
    <row r="30" spans="1:11" ht="11.25">
      <c r="A30" s="241"/>
      <c r="B30" s="77"/>
      <c r="C30" s="245" t="s">
        <v>623</v>
      </c>
      <c r="D30" s="195" t="s">
        <v>153</v>
      </c>
      <c r="E30" s="352">
        <v>2242000</v>
      </c>
      <c r="F30" s="195">
        <f t="shared" si="0"/>
        <v>9310</v>
      </c>
      <c r="G30" s="352">
        <v>4822000</v>
      </c>
      <c r="I30" s="11" t="s">
        <v>11</v>
      </c>
      <c r="J30" s="12" t="b">
        <f>IF(NOT(ISBLANK(s030.08520)),s030.08520&lt;0,TRUE)</f>
        <v>1</v>
      </c>
      <c r="K30" s="2" t="s">
        <v>417</v>
      </c>
    </row>
    <row r="31" spans="1:11" ht="11.25">
      <c r="A31" s="241"/>
      <c r="B31" s="77"/>
      <c r="C31" s="245" t="s">
        <v>1684</v>
      </c>
      <c r="D31" s="143" t="s">
        <v>154</v>
      </c>
      <c r="E31" s="353"/>
      <c r="F31" s="143">
        <f>1000+D31</f>
        <v>9320</v>
      </c>
      <c r="G31" s="353"/>
      <c r="H31" s="182"/>
      <c r="I31" s="11" t="s">
        <v>12</v>
      </c>
      <c r="J31" s="12" t="b">
        <f>IF(NOT(ISBLANK(s030.09520)),s030.09520&lt;0,TRUE)</f>
        <v>1</v>
      </c>
      <c r="K31" s="2" t="s">
        <v>417</v>
      </c>
    </row>
    <row r="32" spans="1:11" ht="11.25">
      <c r="A32" s="243"/>
      <c r="B32" s="57"/>
      <c r="C32" s="246" t="s">
        <v>1608</v>
      </c>
      <c r="D32" s="145" t="s">
        <v>155</v>
      </c>
      <c r="E32" s="354">
        <v>-1000</v>
      </c>
      <c r="F32" s="145">
        <f t="shared" si="0"/>
        <v>9330</v>
      </c>
      <c r="G32" s="354">
        <v>-15000</v>
      </c>
      <c r="H32" s="25"/>
      <c r="I32" s="11" t="s">
        <v>13</v>
      </c>
      <c r="J32" s="12" t="b">
        <f>IF(NOT(ISBLANK(s030.08630)),s030.08630&lt;0,TRUE)</f>
        <v>1</v>
      </c>
      <c r="K32" s="2" t="s">
        <v>417</v>
      </c>
    </row>
    <row r="33" spans="1:11" ht="11.25">
      <c r="A33" s="521"/>
      <c r="B33" s="522"/>
      <c r="C33" s="523"/>
      <c r="D33" s="524"/>
      <c r="E33" s="465"/>
      <c r="F33" s="524"/>
      <c r="G33" s="525"/>
      <c r="H33" s="25"/>
      <c r="I33" s="11" t="s">
        <v>14</v>
      </c>
      <c r="J33" s="12" t="b">
        <f>IF(NOT(ISBLANK(s030.09630)),s030.09630&lt;0,TRUE)</f>
        <v>1</v>
      </c>
      <c r="K33" s="2" t="s">
        <v>417</v>
      </c>
    </row>
    <row r="34" spans="1:11" ht="11.25">
      <c r="A34" s="188" t="s">
        <v>64</v>
      </c>
      <c r="B34" s="191"/>
      <c r="C34" s="192"/>
      <c r="D34" s="193" t="s">
        <v>156</v>
      </c>
      <c r="E34" s="471">
        <v>-17701000</v>
      </c>
      <c r="F34" s="472">
        <f t="shared" si="0"/>
        <v>9350</v>
      </c>
      <c r="G34" s="471">
        <v>-41573000</v>
      </c>
      <c r="H34" s="194"/>
      <c r="I34" s="11" t="s">
        <v>15</v>
      </c>
      <c r="J34" s="12" t="b">
        <f>IF(NOT(ISBLANK(s030.08720)),s030.08720&lt;0,TRUE)</f>
        <v>1</v>
      </c>
      <c r="K34" s="2" t="s">
        <v>417</v>
      </c>
    </row>
    <row r="35" spans="1:11" ht="11.25">
      <c r="A35" s="521"/>
      <c r="B35" s="522"/>
      <c r="C35" s="523"/>
      <c r="D35" s="524"/>
      <c r="E35" s="465"/>
      <c r="F35" s="524"/>
      <c r="G35" s="525"/>
      <c r="I35" s="11" t="s">
        <v>16</v>
      </c>
      <c r="J35" s="12" t="b">
        <f>IF(NOT(ISBLANK(s030.09720)),s030.09720&lt;0,TRUE)</f>
        <v>1</v>
      </c>
      <c r="K35" s="2" t="s">
        <v>417</v>
      </c>
    </row>
    <row r="36" spans="1:11" ht="11.25">
      <c r="A36" s="238"/>
      <c r="B36" s="191" t="s">
        <v>201</v>
      </c>
      <c r="C36" s="190"/>
      <c r="D36" s="472" t="s">
        <v>157</v>
      </c>
      <c r="E36" s="471"/>
      <c r="F36" s="472">
        <f t="shared" si="0"/>
        <v>9400</v>
      </c>
      <c r="G36" s="471"/>
      <c r="H36" s="194"/>
      <c r="I36" s="11" t="s">
        <v>17</v>
      </c>
      <c r="J36" s="12" t="b">
        <f>s030.08100=s030.08110+s030.08120+s030.08130+s030.08140+s030.08150+s030.08160</f>
        <v>1</v>
      </c>
      <c r="K36" s="2" t="s">
        <v>417</v>
      </c>
    </row>
    <row r="37" spans="1:11" ht="11.25">
      <c r="A37" s="241"/>
      <c r="B37" s="77"/>
      <c r="C37" s="245" t="s">
        <v>203</v>
      </c>
      <c r="D37" s="195" t="s">
        <v>158</v>
      </c>
      <c r="E37" s="352"/>
      <c r="F37" s="195">
        <f t="shared" si="0"/>
        <v>9410</v>
      </c>
      <c r="G37" s="352"/>
      <c r="I37" s="11" t="s">
        <v>18</v>
      </c>
      <c r="J37" s="12" t="b">
        <f>s030.09100=s030.09110+s030.09120+s030.09130+s030.09140+s030.09150+s030.09160</f>
        <v>1</v>
      </c>
      <c r="K37" s="2" t="s">
        <v>417</v>
      </c>
    </row>
    <row r="38" spans="1:11" ht="11.25">
      <c r="A38" s="241"/>
      <c r="B38" s="77"/>
      <c r="C38" s="245" t="s">
        <v>202</v>
      </c>
      <c r="D38" s="145" t="s">
        <v>159</v>
      </c>
      <c r="E38" s="353"/>
      <c r="F38" s="145">
        <f t="shared" si="0"/>
        <v>9420</v>
      </c>
      <c r="G38" s="353"/>
      <c r="H38" s="182"/>
      <c r="I38" s="11" t="s">
        <v>19</v>
      </c>
      <c r="J38" s="12" t="b">
        <f>s030.08200=s030.08210+s030.08220+s030.08230+s030.08240+s030.08250</f>
        <v>1</v>
      </c>
      <c r="K38" s="2" t="s">
        <v>417</v>
      </c>
    </row>
    <row r="39" spans="1:11" ht="11.25">
      <c r="A39" s="238"/>
      <c r="B39" s="191" t="s">
        <v>41</v>
      </c>
      <c r="C39" s="190"/>
      <c r="D39" s="472" t="s">
        <v>160</v>
      </c>
      <c r="E39" s="471"/>
      <c r="F39" s="472">
        <f t="shared" si="0"/>
        <v>9500</v>
      </c>
      <c r="G39" s="471"/>
      <c r="H39" s="194"/>
      <c r="I39" s="11" t="s">
        <v>20</v>
      </c>
      <c r="J39" s="12" t="b">
        <f>s030.09200=s030.09210+s030.09220+s030.09230+s030.09240+s030.09250</f>
        <v>1</v>
      </c>
      <c r="K39" s="2" t="s">
        <v>417</v>
      </c>
    </row>
    <row r="40" spans="1:11" ht="11.25">
      <c r="A40" s="241"/>
      <c r="B40" s="77"/>
      <c r="C40" s="245" t="s">
        <v>38</v>
      </c>
      <c r="D40" s="195" t="s">
        <v>161</v>
      </c>
      <c r="E40" s="353"/>
      <c r="F40" s="195">
        <f t="shared" si="0"/>
        <v>9510</v>
      </c>
      <c r="G40" s="353"/>
      <c r="H40" s="182"/>
      <c r="I40" s="11" t="s">
        <v>21</v>
      </c>
      <c r="J40" s="12" t="b">
        <f>s030.08300=s030.08310+s030.08320+s030.08330</f>
        <v>1</v>
      </c>
      <c r="K40" s="2" t="s">
        <v>417</v>
      </c>
    </row>
    <row r="41" spans="1:11" ht="11.25">
      <c r="A41" s="241"/>
      <c r="B41" s="77"/>
      <c r="C41" s="245" t="s">
        <v>39</v>
      </c>
      <c r="D41" s="145" t="s">
        <v>162</v>
      </c>
      <c r="E41" s="353"/>
      <c r="F41" s="145">
        <f t="shared" si="0"/>
        <v>9520</v>
      </c>
      <c r="G41" s="353"/>
      <c r="H41" s="182"/>
      <c r="I41" s="11" t="s">
        <v>22</v>
      </c>
      <c r="J41" s="12" t="b">
        <f>s030.09300=s030.09310+s030.09320+s030.09330</f>
        <v>1</v>
      </c>
      <c r="K41" s="2" t="s">
        <v>417</v>
      </c>
    </row>
    <row r="42" spans="1:11" ht="11.25">
      <c r="A42" s="238"/>
      <c r="B42" s="191" t="s">
        <v>1717</v>
      </c>
      <c r="C42" s="192"/>
      <c r="D42" s="472" t="s">
        <v>163</v>
      </c>
      <c r="E42" s="471">
        <v>-17701000</v>
      </c>
      <c r="F42" s="472">
        <f t="shared" si="0"/>
        <v>9600</v>
      </c>
      <c r="G42" s="471">
        <v>-41453000</v>
      </c>
      <c r="H42" s="194"/>
      <c r="I42" s="11" t="s">
        <v>23</v>
      </c>
      <c r="J42" s="12" t="b">
        <f>s030.08000=s030.08100+s030.08200+s030.08300</f>
        <v>1</v>
      </c>
      <c r="K42" s="2" t="s">
        <v>417</v>
      </c>
    </row>
    <row r="43" spans="1:11" ht="11.25">
      <c r="A43" s="241"/>
      <c r="B43" s="77"/>
      <c r="C43" s="245" t="s">
        <v>42</v>
      </c>
      <c r="D43" s="195" t="s">
        <v>164</v>
      </c>
      <c r="E43" s="352">
        <v>75180000</v>
      </c>
      <c r="F43" s="195">
        <f t="shared" si="0"/>
        <v>9610</v>
      </c>
      <c r="G43" s="352">
        <v>244098000</v>
      </c>
      <c r="I43" s="11" t="s">
        <v>24</v>
      </c>
      <c r="J43" s="12" t="b">
        <f>s030.09000=s030.09100+s030.09200+s030.09300</f>
        <v>1</v>
      </c>
      <c r="K43" s="2" t="s">
        <v>417</v>
      </c>
    </row>
    <row r="44" spans="1:11" ht="11.25">
      <c r="A44" s="241"/>
      <c r="B44" s="77"/>
      <c r="C44" s="245" t="s">
        <v>1694</v>
      </c>
      <c r="D44" s="143" t="s">
        <v>165</v>
      </c>
      <c r="E44" s="353"/>
      <c r="F44" s="143" t="s">
        <v>419</v>
      </c>
      <c r="G44" s="353">
        <v>1066000</v>
      </c>
      <c r="I44" s="11" t="s">
        <v>25</v>
      </c>
      <c r="J44" s="12" t="b">
        <f>s030.08400=s030.08410+s030.08420</f>
        <v>1</v>
      </c>
      <c r="K44" s="2" t="s">
        <v>417</v>
      </c>
    </row>
    <row r="45" spans="1:11" ht="11.25">
      <c r="A45" s="241"/>
      <c r="B45" s="77"/>
      <c r="C45" s="245" t="s">
        <v>204</v>
      </c>
      <c r="D45" s="145" t="s">
        <v>166</v>
      </c>
      <c r="E45" s="353">
        <v>-92881000</v>
      </c>
      <c r="F45" s="145">
        <f t="shared" si="0"/>
        <v>9630</v>
      </c>
      <c r="G45" s="353">
        <v>-286617000</v>
      </c>
      <c r="H45" s="182"/>
      <c r="I45" s="11" t="s">
        <v>26</v>
      </c>
      <c r="J45" s="12" t="b">
        <f>s030.09400=s030.09410+s030.09420</f>
        <v>1</v>
      </c>
      <c r="K45" s="2" t="s">
        <v>417</v>
      </c>
    </row>
    <row r="46" spans="1:11" ht="11.25">
      <c r="A46" s="238"/>
      <c r="B46" s="191" t="s">
        <v>1718</v>
      </c>
      <c r="C46" s="192"/>
      <c r="D46" s="193" t="s">
        <v>167</v>
      </c>
      <c r="E46" s="471"/>
      <c r="F46" s="472">
        <f t="shared" si="0"/>
        <v>9700</v>
      </c>
      <c r="G46" s="471">
        <v>-120000</v>
      </c>
      <c r="H46" s="194"/>
      <c r="I46" s="11" t="s">
        <v>27</v>
      </c>
      <c r="J46" s="12" t="b">
        <f>s030.08500=s030.08510+s030.08520</f>
        <v>1</v>
      </c>
      <c r="K46" s="2" t="s">
        <v>417</v>
      </c>
    </row>
    <row r="47" spans="1:11" ht="11.25">
      <c r="A47" s="99"/>
      <c r="B47" s="77"/>
      <c r="C47" s="245" t="s">
        <v>1504</v>
      </c>
      <c r="D47" s="195" t="s">
        <v>168</v>
      </c>
      <c r="E47" s="352"/>
      <c r="F47" s="195">
        <f t="shared" si="0"/>
        <v>9710</v>
      </c>
      <c r="G47" s="352"/>
      <c r="I47" s="11" t="s">
        <v>28</v>
      </c>
      <c r="J47" s="12" t="b">
        <f>s030.09500=s030.09510+s030.09520</f>
        <v>1</v>
      </c>
      <c r="K47" s="2" t="s">
        <v>417</v>
      </c>
    </row>
    <row r="48" spans="1:11" ht="11.25">
      <c r="A48" s="241"/>
      <c r="B48" s="77"/>
      <c r="C48" s="245" t="s">
        <v>1505</v>
      </c>
      <c r="D48" s="143" t="s">
        <v>169</v>
      </c>
      <c r="E48" s="353"/>
      <c r="F48" s="143">
        <f t="shared" si="0"/>
        <v>9720</v>
      </c>
      <c r="G48" s="353">
        <v>-120000</v>
      </c>
      <c r="H48" s="182"/>
      <c r="I48" s="11" t="s">
        <v>29</v>
      </c>
      <c r="J48" s="12" t="b">
        <f>s030.08600=s030.08610+s030.08620+s030.08630</f>
        <v>1</v>
      </c>
      <c r="K48" s="2" t="s">
        <v>417</v>
      </c>
    </row>
    <row r="49" spans="1:11" ht="11.25">
      <c r="A49" s="241"/>
      <c r="B49" s="77"/>
      <c r="C49" s="245" t="s">
        <v>40</v>
      </c>
      <c r="D49" s="143" t="s">
        <v>170</v>
      </c>
      <c r="E49" s="353"/>
      <c r="F49" s="143">
        <f t="shared" si="0"/>
        <v>9730</v>
      </c>
      <c r="G49" s="353"/>
      <c r="I49" s="11" t="s">
        <v>30</v>
      </c>
      <c r="J49" s="12" t="b">
        <f>s030.09600=s030.09610+s030.09620+s030.09630</f>
        <v>1</v>
      </c>
      <c r="K49" s="2" t="s">
        <v>417</v>
      </c>
    </row>
    <row r="50" spans="1:11" ht="11.25" customHeight="1">
      <c r="A50" s="241"/>
      <c r="B50" s="77"/>
      <c r="C50" s="245" t="s">
        <v>36</v>
      </c>
      <c r="D50" s="143" t="s">
        <v>171</v>
      </c>
      <c r="E50" s="353"/>
      <c r="F50" s="143">
        <f t="shared" si="0"/>
        <v>9740</v>
      </c>
      <c r="G50" s="353"/>
      <c r="I50" s="11" t="s">
        <v>31</v>
      </c>
      <c r="J50" s="12" t="b">
        <f>s030.08700=s030.08710+s030.08720+s030.08730+s030.08740+s030.08750+s030.08770+s030.08780</f>
        <v>1</v>
      </c>
      <c r="K50" s="2" t="s">
        <v>417</v>
      </c>
    </row>
    <row r="51" spans="1:11" ht="12" customHeight="1">
      <c r="A51" s="241"/>
      <c r="B51" s="77"/>
      <c r="C51" s="245" t="s">
        <v>37</v>
      </c>
      <c r="D51" s="143" t="s">
        <v>172</v>
      </c>
      <c r="E51" s="353"/>
      <c r="F51" s="143">
        <f t="shared" si="0"/>
        <v>9750</v>
      </c>
      <c r="G51" s="353"/>
      <c r="H51" s="25"/>
      <c r="I51" s="11" t="s">
        <v>32</v>
      </c>
      <c r="J51" s="12" t="b">
        <f>s030.09700=s030.09710+s030.09720+s030.09730+s030.09740+s030.09750+s030.09770+s030.09780</f>
        <v>1</v>
      </c>
      <c r="K51" s="2" t="s">
        <v>417</v>
      </c>
    </row>
    <row r="52" spans="1:11" ht="11.25">
      <c r="A52" s="241"/>
      <c r="B52" s="77"/>
      <c r="C52" s="245" t="s">
        <v>621</v>
      </c>
      <c r="D52" s="143" t="s">
        <v>173</v>
      </c>
      <c r="E52" s="353"/>
      <c r="F52" s="143">
        <f>1000+D52</f>
        <v>9770</v>
      </c>
      <c r="G52" s="353"/>
      <c r="I52" s="11" t="s">
        <v>2406</v>
      </c>
      <c r="J52" s="12" t="b">
        <f>s030.08350=s030.08400+s030.08500+s030.08600+s030.08700</f>
        <v>1</v>
      </c>
      <c r="K52" s="2" t="s">
        <v>417</v>
      </c>
    </row>
    <row r="53" spans="1:11" ht="11.25">
      <c r="A53" s="243"/>
      <c r="B53" s="57"/>
      <c r="C53" s="246" t="s">
        <v>622</v>
      </c>
      <c r="D53" s="145" t="s">
        <v>174</v>
      </c>
      <c r="E53" s="354"/>
      <c r="F53" s="145">
        <f t="shared" si="0"/>
        <v>9780</v>
      </c>
      <c r="G53" s="354"/>
      <c r="I53" s="11" t="s">
        <v>2407</v>
      </c>
      <c r="J53" s="12" t="b">
        <f>s030.09350=s030.09400+s030.09500+s030.09600+s030.09700</f>
        <v>1</v>
      </c>
      <c r="K53" s="2" t="s">
        <v>417</v>
      </c>
    </row>
    <row r="54" spans="1:11" ht="11.25">
      <c r="A54" s="521"/>
      <c r="B54" s="522"/>
      <c r="C54" s="523"/>
      <c r="D54" s="524"/>
      <c r="E54" s="465"/>
      <c r="F54" s="524"/>
      <c r="G54" s="525"/>
      <c r="I54" s="11" t="s">
        <v>2408</v>
      </c>
      <c r="J54" s="12" t="b">
        <f>s030.08800=s030.08000+s030.08350</f>
        <v>1</v>
      </c>
      <c r="K54" s="2" t="s">
        <v>417</v>
      </c>
    </row>
    <row r="55" spans="1:11" ht="11.25">
      <c r="A55" s="188" t="s">
        <v>1713</v>
      </c>
      <c r="B55" s="191"/>
      <c r="C55" s="192"/>
      <c r="D55" s="472" t="s">
        <v>175</v>
      </c>
      <c r="E55" s="471">
        <v>-9814000</v>
      </c>
      <c r="F55" s="472">
        <f t="shared" si="0"/>
        <v>9800</v>
      </c>
      <c r="G55" s="471">
        <v>-32562000</v>
      </c>
      <c r="H55" s="194"/>
      <c r="I55" s="11" t="s">
        <v>2409</v>
      </c>
      <c r="J55" s="12" t="b">
        <f>s030.09800=s030.09000+s030.09350</f>
        <v>1</v>
      </c>
      <c r="K55" s="2" t="s">
        <v>417</v>
      </c>
    </row>
    <row r="56" spans="1:9" ht="11.25">
      <c r="A56" s="526"/>
      <c r="B56" s="527"/>
      <c r="C56" s="528"/>
      <c r="D56" s="529"/>
      <c r="E56" s="463"/>
      <c r="F56" s="529"/>
      <c r="G56" s="462"/>
      <c r="I56" s="2"/>
    </row>
    <row r="57" spans="1:9" ht="11.25">
      <c r="A57" s="241"/>
      <c r="B57" s="247" t="s">
        <v>1681</v>
      </c>
      <c r="C57" s="77"/>
      <c r="D57" s="196" t="s">
        <v>176</v>
      </c>
      <c r="E57" s="348">
        <v>32849000</v>
      </c>
      <c r="F57" s="196">
        <f t="shared" si="0"/>
        <v>9900</v>
      </c>
      <c r="G57" s="348">
        <v>65411000</v>
      </c>
      <c r="H57" s="25"/>
      <c r="I57" s="2"/>
    </row>
    <row r="58" spans="1:9" ht="11.25">
      <c r="A58" s="243"/>
      <c r="B58" s="248" t="s">
        <v>1682</v>
      </c>
      <c r="C58" s="57"/>
      <c r="D58" s="35" t="s">
        <v>177</v>
      </c>
      <c r="E58" s="338">
        <v>23035000</v>
      </c>
      <c r="F58" s="35">
        <f t="shared" si="0"/>
        <v>9990</v>
      </c>
      <c r="G58" s="342">
        <v>32849000</v>
      </c>
      <c r="H58" s="25"/>
      <c r="I58" s="2"/>
    </row>
    <row r="59" spans="5:9" ht="11.25">
      <c r="E59" s="322"/>
      <c r="G59" s="325"/>
      <c r="I59" s="2"/>
    </row>
    <row r="60" spans="5:9" ht="11.25">
      <c r="E60" s="322"/>
      <c r="G60" s="325"/>
      <c r="I60" s="2"/>
    </row>
    <row r="61" spans="5:7" ht="11.25">
      <c r="E61" s="322"/>
      <c r="G61" s="325"/>
    </row>
    <row r="62" spans="1:7" ht="11.25">
      <c r="A62" s="197"/>
      <c r="B62" s="21"/>
      <c r="C62" s="25"/>
      <c r="D62" s="198"/>
      <c r="E62" s="322"/>
      <c r="F62" s="198"/>
      <c r="G62" s="325"/>
    </row>
    <row r="63" spans="1:7" ht="11.25">
      <c r="A63" s="197"/>
      <c r="B63" s="199"/>
      <c r="C63" s="25"/>
      <c r="D63" s="198"/>
      <c r="E63" s="322"/>
      <c r="F63" s="198"/>
      <c r="G63" s="325"/>
    </row>
    <row r="64" spans="1:7" ht="11.25">
      <c r="A64" s="197"/>
      <c r="B64" s="199"/>
      <c r="C64" s="25"/>
      <c r="D64" s="198"/>
      <c r="E64" s="322"/>
      <c r="F64" s="198"/>
      <c r="G64" s="325"/>
    </row>
    <row r="65" spans="1:7" ht="11.25">
      <c r="A65" s="197"/>
      <c r="B65" s="199"/>
      <c r="C65" s="25"/>
      <c r="D65" s="198"/>
      <c r="E65" s="322"/>
      <c r="F65" s="198"/>
      <c r="G65" s="325"/>
    </row>
    <row r="66" spans="1:7" ht="11.25">
      <c r="A66" s="197"/>
      <c r="B66" s="199"/>
      <c r="C66" s="25"/>
      <c r="D66" s="198"/>
      <c r="E66" s="322"/>
      <c r="F66" s="198"/>
      <c r="G66" s="325"/>
    </row>
    <row r="67" spans="5:7" ht="11.25">
      <c r="E67" s="322"/>
      <c r="G67" s="325"/>
    </row>
    <row r="68" spans="5:7" ht="11.25">
      <c r="E68" s="322"/>
      <c r="G68" s="325"/>
    </row>
    <row r="69" spans="5:7" ht="11.25">
      <c r="E69" s="322"/>
      <c r="G69" s="325"/>
    </row>
    <row r="70" spans="5:7" ht="11.25">
      <c r="E70" s="322"/>
      <c r="G70" s="325"/>
    </row>
    <row r="71" spans="5:7" ht="11.25">
      <c r="E71" s="322"/>
      <c r="G71" s="325"/>
    </row>
    <row r="72" spans="5:7" ht="11.25">
      <c r="E72" s="322"/>
      <c r="G72" s="325"/>
    </row>
    <row r="73" spans="5:7" ht="11.25">
      <c r="E73" s="322"/>
      <c r="G73" s="325"/>
    </row>
    <row r="74" spans="5:7" ht="11.25">
      <c r="E74" s="322"/>
      <c r="G74" s="325"/>
    </row>
    <row r="75" ht="11.25">
      <c r="E75" s="322"/>
    </row>
    <row r="76" ht="11.25">
      <c r="E76" s="322"/>
    </row>
    <row r="77" ht="11.25">
      <c r="E77" s="9"/>
    </row>
    <row r="78" ht="11.25">
      <c r="E78" s="9"/>
    </row>
    <row r="79" ht="11.25">
      <c r="E79" s="9"/>
    </row>
    <row r="80" ht="11.25">
      <c r="E80" s="9"/>
    </row>
    <row r="81" ht="11.25">
      <c r="E81" s="9"/>
    </row>
    <row r="82" ht="11.25">
      <c r="E82" s="9"/>
    </row>
    <row r="83" ht="11.25">
      <c r="E83" s="9"/>
    </row>
    <row r="84" ht="11.25">
      <c r="E84" s="9"/>
    </row>
    <row r="85" ht="11.25">
      <c r="E85" s="9"/>
    </row>
    <row r="86" ht="11.25">
      <c r="E86" s="9"/>
    </row>
    <row r="87" ht="11.25">
      <c r="E87" s="9"/>
    </row>
    <row r="88" ht="11.25">
      <c r="E88" s="9"/>
    </row>
    <row r="89" ht="11.25">
      <c r="E89" s="9"/>
    </row>
    <row r="90" ht="11.25">
      <c r="E90" s="9"/>
    </row>
    <row r="91" ht="11.25">
      <c r="E91" s="9"/>
    </row>
    <row r="92" ht="11.25">
      <c r="E92" s="9"/>
    </row>
    <row r="93" ht="11.25">
      <c r="E93" s="9"/>
    </row>
    <row r="94" ht="11.25">
      <c r="E94" s="9"/>
    </row>
    <row r="95" ht="11.25">
      <c r="E95" s="9"/>
    </row>
    <row r="96" ht="11.25">
      <c r="E96" s="9"/>
    </row>
    <row r="97" ht="11.25">
      <c r="E97" s="9"/>
    </row>
    <row r="98" ht="11.25">
      <c r="E98" s="9"/>
    </row>
    <row r="99" ht="11.25">
      <c r="E99" s="9"/>
    </row>
    <row r="100" ht="11.25">
      <c r="E100" s="9"/>
    </row>
    <row r="101" ht="11.25">
      <c r="E101" s="9"/>
    </row>
    <row r="102" ht="11.25">
      <c r="E102" s="9"/>
    </row>
  </sheetData>
  <sheetProtection password="CE28" sheet="1" objects="1" scenarios="1"/>
  <mergeCells count="7">
    <mergeCell ref="A1:H1"/>
    <mergeCell ref="A8:B8"/>
    <mergeCell ref="C4:G4"/>
    <mergeCell ref="C5:G5"/>
    <mergeCell ref="C6:G6"/>
    <mergeCell ref="C7:G7"/>
    <mergeCell ref="C8:G8"/>
  </mergeCells>
  <conditionalFormatting sqref="E58">
    <cfRule type="expression" priority="1" dxfId="0" stopIfTrue="1">
      <formula>NOT(J2)</formula>
    </cfRule>
    <cfRule type="expression" priority="2" dxfId="0" stopIfTrue="1">
      <formula>NOT(J5)</formula>
    </cfRule>
  </conditionalFormatting>
  <conditionalFormatting sqref="E16 E24">
    <cfRule type="expression" priority="3" dxfId="0" stopIfTrue="1">
      <formula>NOT(J6)</formula>
    </cfRule>
  </conditionalFormatting>
  <conditionalFormatting sqref="G16 G24">
    <cfRule type="expression" priority="4" dxfId="0" stopIfTrue="1">
      <formula>NOT(J7)</formula>
    </cfRule>
  </conditionalFormatting>
  <conditionalFormatting sqref="E19 E23 E41">
    <cfRule type="expression" priority="5" dxfId="0" stopIfTrue="1">
      <formula>NOT(J8)</formula>
    </cfRule>
  </conditionalFormatting>
  <conditionalFormatting sqref="G19 G23 G41">
    <cfRule type="expression" priority="6" dxfId="0" stopIfTrue="1">
      <formula>NOT(J9)</formula>
    </cfRule>
  </conditionalFormatting>
  <conditionalFormatting sqref="E40">
    <cfRule type="expression" priority="7" dxfId="0" stopIfTrue="1">
      <formula>NOT(J28)</formula>
    </cfRule>
  </conditionalFormatting>
  <conditionalFormatting sqref="G40">
    <cfRule type="expression" priority="8" dxfId="0" stopIfTrue="1">
      <formula>NOT(J29)</formula>
    </cfRule>
  </conditionalFormatting>
  <conditionalFormatting sqref="E25 E31">
    <cfRule type="expression" priority="9" dxfId="0" stopIfTrue="1">
      <formula>NOT(J16)</formula>
    </cfRule>
  </conditionalFormatting>
  <conditionalFormatting sqref="G25 G31">
    <cfRule type="expression" priority="10" dxfId="0" stopIfTrue="1">
      <formula>NOT(J17)</formula>
    </cfRule>
  </conditionalFormatting>
  <conditionalFormatting sqref="E26">
    <cfRule type="expression" priority="11" dxfId="0" stopIfTrue="1">
      <formula>NOT(J18)</formula>
    </cfRule>
  </conditionalFormatting>
  <conditionalFormatting sqref="G26">
    <cfRule type="expression" priority="12" dxfId="0" stopIfTrue="1">
      <formula>NOT(J19)</formula>
    </cfRule>
  </conditionalFormatting>
  <conditionalFormatting sqref="E27">
    <cfRule type="expression" priority="13" dxfId="0" stopIfTrue="1">
      <formula>NOT(J20)</formula>
    </cfRule>
  </conditionalFormatting>
  <conditionalFormatting sqref="G27">
    <cfRule type="expression" priority="14" dxfId="0" stopIfTrue="1">
      <formula>NOT(J21)</formula>
    </cfRule>
  </conditionalFormatting>
  <conditionalFormatting sqref="E38 E48">
    <cfRule type="expression" priority="15" dxfId="0" stopIfTrue="1">
      <formula>NOT(J24)</formula>
    </cfRule>
  </conditionalFormatting>
  <conditionalFormatting sqref="G38 G48">
    <cfRule type="expression" priority="16" dxfId="0" stopIfTrue="1">
      <formula>NOT(J25)</formula>
    </cfRule>
  </conditionalFormatting>
  <conditionalFormatting sqref="E45">
    <cfRule type="expression" priority="17" dxfId="0" stopIfTrue="1">
      <formula>NOT(J32)</formula>
    </cfRule>
  </conditionalFormatting>
  <conditionalFormatting sqref="G45">
    <cfRule type="expression" priority="18" dxfId="0" stopIfTrue="1">
      <formula>NOT(J33)</formula>
    </cfRule>
  </conditionalFormatting>
  <conditionalFormatting sqref="E14">
    <cfRule type="expression" priority="19" dxfId="0" stopIfTrue="1">
      <formula>NOT(J36)</formula>
    </cfRule>
  </conditionalFormatting>
  <conditionalFormatting sqref="G14">
    <cfRule type="expression" priority="20" dxfId="0" stopIfTrue="1">
      <formula>NOT(J37)</formula>
    </cfRule>
  </conditionalFormatting>
  <conditionalFormatting sqref="E22">
    <cfRule type="expression" priority="21" dxfId="0" stopIfTrue="1">
      <formula>NOT(J10)</formula>
    </cfRule>
    <cfRule type="expression" priority="22" dxfId="0" stopIfTrue="1">
      <formula>NOT(J38)</formula>
    </cfRule>
  </conditionalFormatting>
  <conditionalFormatting sqref="G22">
    <cfRule type="expression" priority="23" dxfId="0" stopIfTrue="1">
      <formula>NOT(J11)</formula>
    </cfRule>
    <cfRule type="expression" priority="24" dxfId="0" stopIfTrue="1">
      <formula>NOT(J39)</formula>
    </cfRule>
  </conditionalFormatting>
  <conditionalFormatting sqref="E29">
    <cfRule type="expression" priority="25" dxfId="0" stopIfTrue="1">
      <formula>NOT(J40)</formula>
    </cfRule>
  </conditionalFormatting>
  <conditionalFormatting sqref="G29">
    <cfRule type="expression" priority="26" dxfId="0" stopIfTrue="1">
      <formula>NOT(J41)</formula>
    </cfRule>
  </conditionalFormatting>
  <conditionalFormatting sqref="E12">
    <cfRule type="expression" priority="27" dxfId="0" stopIfTrue="1">
      <formula>NOT(J42)</formula>
    </cfRule>
  </conditionalFormatting>
  <conditionalFormatting sqref="G12">
    <cfRule type="expression" priority="28" dxfId="0" stopIfTrue="1">
      <formula>NOT(J43)</formula>
    </cfRule>
  </conditionalFormatting>
  <conditionalFormatting sqref="E36">
    <cfRule type="expression" priority="29" dxfId="0" stopIfTrue="1">
      <formula>NOT(J44)</formula>
    </cfRule>
  </conditionalFormatting>
  <conditionalFormatting sqref="G36">
    <cfRule type="expression" priority="30" dxfId="0" stopIfTrue="1">
      <formula>NOT(J45)</formula>
    </cfRule>
  </conditionalFormatting>
  <conditionalFormatting sqref="E39">
    <cfRule type="expression" priority="31" dxfId="0" stopIfTrue="1">
      <formula>NOT(J26)</formula>
    </cfRule>
    <cfRule type="expression" priority="32" dxfId="0" stopIfTrue="1">
      <formula>NOT(J46)</formula>
    </cfRule>
  </conditionalFormatting>
  <conditionalFormatting sqref="G39">
    <cfRule type="expression" priority="33" dxfId="0" stopIfTrue="1">
      <formula>NOT(J27)</formula>
    </cfRule>
    <cfRule type="expression" priority="34" dxfId="0" stopIfTrue="1">
      <formula>NOT(J47)</formula>
    </cfRule>
  </conditionalFormatting>
  <conditionalFormatting sqref="E42">
    <cfRule type="expression" priority="35" dxfId="0" stopIfTrue="1">
      <formula>NOT(J48)</formula>
    </cfRule>
  </conditionalFormatting>
  <conditionalFormatting sqref="G42">
    <cfRule type="expression" priority="36" dxfId="0" stopIfTrue="1">
      <formula>NOT(J49)</formula>
    </cfRule>
  </conditionalFormatting>
  <conditionalFormatting sqref="E46">
    <cfRule type="expression" priority="37" dxfId="0" stopIfTrue="1">
      <formula>NOT(J50)</formula>
    </cfRule>
  </conditionalFormatting>
  <conditionalFormatting sqref="G46">
    <cfRule type="expression" priority="38" dxfId="0" stopIfTrue="1">
      <formula>NOT(J51)</formula>
    </cfRule>
  </conditionalFormatting>
  <conditionalFormatting sqref="E34">
    <cfRule type="expression" priority="39" dxfId="0" stopIfTrue="1">
      <formula>NOT(J52)</formula>
    </cfRule>
  </conditionalFormatting>
  <conditionalFormatting sqref="G34">
    <cfRule type="expression" priority="40" dxfId="0" stopIfTrue="1">
      <formula>NOT(J53)</formula>
    </cfRule>
  </conditionalFormatting>
  <conditionalFormatting sqref="E55">
    <cfRule type="expression" priority="41" dxfId="0" stopIfTrue="1">
      <formula>NOT(J3)</formula>
    </cfRule>
    <cfRule type="expression" priority="42" dxfId="0" stopIfTrue="1">
      <formula>NOT(J54)</formula>
    </cfRule>
  </conditionalFormatting>
  <conditionalFormatting sqref="G55">
    <cfRule type="expression" priority="43" dxfId="0" stopIfTrue="1">
      <formula>NOT(J4)</formula>
    </cfRule>
    <cfRule type="expression" priority="44" dxfId="0" stopIfTrue="1">
      <formula>NOT(J55)</formula>
    </cfRule>
  </conditionalFormatting>
  <conditionalFormatting sqref="J2:J55">
    <cfRule type="cellIs" priority="45" dxfId="0" operator="equal" stopIfTrue="1">
      <formula>FALSE</formula>
    </cfRule>
  </conditionalFormatting>
  <dataValidations count="1">
    <dataValidation type="whole" operator="lessThanOrEqual" allowBlank="1" showInputMessage="1" showErrorMessage="1" errorTitle="Celda de Tipo Numérico Entero" sqref="E12 G12 G14:G20 E14:E20 E22:E27 G22:G27 G29:G32 E29:E32 G34 E34 E36:E53 G36:G53 G55 E55 E57:E58 G57:G58">
      <formula1>9.99999999999999E+36</formula1>
    </dataValidation>
  </dataValidations>
  <printOptions horizontalCentered="1"/>
  <pageMargins left="0.7874015748031497" right="0.7874015748031497" top="0.5905511811023623" bottom="0.5905511811023623" header="0" footer="0.3937007874015748"/>
  <pageSetup horizontalDpi="600" verticalDpi="600" orientation="portrait" paperSize="9" scale="54" r:id="rId2"/>
  <legacyDrawing r:id="rId1"/>
</worksheet>
</file>

<file path=xl/worksheets/sheet5.xml><?xml version="1.0" encoding="utf-8"?>
<worksheet xmlns="http://schemas.openxmlformats.org/spreadsheetml/2006/main" xmlns:r="http://schemas.openxmlformats.org/officeDocument/2006/relationships">
  <sheetPr codeName="Hoja4"/>
  <dimension ref="A1:J40"/>
  <sheetViews>
    <sheetView zoomScale="90" zoomScaleNormal="90" zoomScaleSheetLayoutView="100" workbookViewId="0" topLeftCell="A1">
      <selection activeCell="D25" sqref="D25"/>
    </sheetView>
  </sheetViews>
  <sheetFormatPr defaultColWidth="11.421875" defaultRowHeight="12.75"/>
  <cols>
    <col min="1" max="1" width="24.57421875" style="2" customWidth="1"/>
    <col min="2" max="2" width="76.140625" style="39" customWidth="1"/>
    <col min="3" max="3" width="5.140625" style="177" customWidth="1"/>
    <col min="4" max="4" width="17.7109375" style="2" customWidth="1"/>
    <col min="5" max="5" width="5.140625" style="177" customWidth="1"/>
    <col min="6" max="6" width="17.7109375" style="2" customWidth="1"/>
    <col min="7" max="7" width="13.421875" style="2" hidden="1" customWidth="1"/>
    <col min="8" max="8" width="47.57421875" style="2" hidden="1" customWidth="1"/>
    <col min="9" max="9" width="15.421875" style="2" hidden="1" customWidth="1"/>
    <col min="10" max="10" width="6.7109375" style="9" hidden="1" customWidth="1"/>
    <col min="11" max="16384" width="9.140625" style="2" customWidth="1"/>
  </cols>
  <sheetData>
    <row r="1" spans="1:9" ht="40.5" customHeight="1">
      <c r="A1" s="723" t="s">
        <v>897</v>
      </c>
      <c r="B1" s="723"/>
      <c r="C1" s="723"/>
      <c r="D1" s="723"/>
      <c r="E1" s="723"/>
      <c r="F1" s="723"/>
      <c r="G1" s="723"/>
      <c r="H1" s="706"/>
      <c r="I1" s="388"/>
    </row>
    <row r="2" spans="1:10" s="1" customFormat="1" ht="11.25">
      <c r="A2" s="228"/>
      <c r="B2" s="157"/>
      <c r="C2" s="42"/>
      <c r="D2" s="157"/>
      <c r="E2" s="42"/>
      <c r="F2" s="235" t="s">
        <v>1616</v>
      </c>
      <c r="H2" s="11" t="s">
        <v>2410</v>
      </c>
      <c r="I2" s="12" t="b">
        <f>s040.06100=0</f>
        <v>1</v>
      </c>
      <c r="J2" s="34" t="s">
        <v>417</v>
      </c>
    </row>
    <row r="3" spans="1:10" s="17" customFormat="1" ht="11.25">
      <c r="A3" s="26"/>
      <c r="B3" s="27"/>
      <c r="C3" s="48"/>
      <c r="D3" s="48"/>
      <c r="E3" s="48"/>
      <c r="F3" s="48"/>
      <c r="H3" s="11" t="s">
        <v>2411</v>
      </c>
      <c r="I3" s="12" t="b">
        <f>s040.07100=0</f>
        <v>1</v>
      </c>
      <c r="J3" s="37" t="s">
        <v>417</v>
      </c>
    </row>
    <row r="4" spans="1:10" ht="12.75" customHeight="1">
      <c r="A4" s="6" t="s">
        <v>1588</v>
      </c>
      <c r="B4" s="725" t="str">
        <f>IF(ISBLANK(s000.00100),"",s000.00100)</f>
        <v>F.T.A. SANTANDER FINANCIACION 3</v>
      </c>
      <c r="C4" s="718"/>
      <c r="D4" s="718"/>
      <c r="E4" s="718"/>
      <c r="F4" s="719"/>
      <c r="H4" s="11" t="s">
        <v>2412</v>
      </c>
      <c r="I4" s="12" t="b">
        <f>s040.06200=0</f>
        <v>1</v>
      </c>
      <c r="J4" s="9" t="s">
        <v>417</v>
      </c>
    </row>
    <row r="5" spans="1:10" ht="12.75" customHeight="1">
      <c r="A5" s="6" t="s">
        <v>1589</v>
      </c>
      <c r="B5" s="725">
        <f>IF(ISBLANK(s000.00130),"",s000.00130)</f>
      </c>
      <c r="C5" s="718"/>
      <c r="D5" s="718"/>
      <c r="E5" s="718"/>
      <c r="F5" s="719"/>
      <c r="H5" s="11" t="s">
        <v>2413</v>
      </c>
      <c r="I5" s="12" t="b">
        <f>s040.07200=0</f>
        <v>1</v>
      </c>
      <c r="J5" s="9" t="s">
        <v>417</v>
      </c>
    </row>
    <row r="6" spans="1:10" ht="12.75" customHeight="1">
      <c r="A6" s="6" t="s">
        <v>1590</v>
      </c>
      <c r="B6" s="725" t="str">
        <f>IF(ISBLANK(s000.00150),"",s000.00150)</f>
        <v>Santander de Titulizacion S.G.F.T., S.A</v>
      </c>
      <c r="C6" s="718"/>
      <c r="D6" s="718"/>
      <c r="E6" s="718"/>
      <c r="F6" s="719"/>
      <c r="H6" s="11" t="s">
        <v>2414</v>
      </c>
      <c r="I6" s="12" t="b">
        <f>s040.06400=0</f>
        <v>1</v>
      </c>
      <c r="J6" s="9" t="s">
        <v>417</v>
      </c>
    </row>
    <row r="7" spans="1:10" ht="12.75" customHeight="1">
      <c r="A7" s="6" t="s">
        <v>2233</v>
      </c>
      <c r="B7" s="725" t="str">
        <f>IF(ISBLANK(s000.00170),"",s000.00170)</f>
        <v>No</v>
      </c>
      <c r="C7" s="718"/>
      <c r="D7" s="718"/>
      <c r="E7" s="718"/>
      <c r="F7" s="719"/>
      <c r="H7" s="11" t="s">
        <v>2415</v>
      </c>
      <c r="I7" s="12" t="b">
        <f>s040.07400=0</f>
        <v>1</v>
      </c>
      <c r="J7" s="9" t="s">
        <v>417</v>
      </c>
    </row>
    <row r="8" spans="1:10" ht="12.75" customHeight="1">
      <c r="A8" s="6" t="s">
        <v>2232</v>
      </c>
      <c r="B8" s="725" t="str">
        <f>IF(ISBLANK(s000.00180),"",s000.00180)</f>
        <v>Primer Semestre</v>
      </c>
      <c r="C8" s="718"/>
      <c r="D8" s="718"/>
      <c r="E8" s="718"/>
      <c r="F8" s="719"/>
      <c r="H8" s="11" t="s">
        <v>2416</v>
      </c>
      <c r="I8" s="12" t="b">
        <f>s040.06500=0</f>
        <v>1</v>
      </c>
      <c r="J8" s="9" t="s">
        <v>417</v>
      </c>
    </row>
    <row r="9" spans="1:10" s="17" customFormat="1" ht="11.25">
      <c r="A9" s="26"/>
      <c r="B9" s="27"/>
      <c r="C9" s="48"/>
      <c r="D9" s="48"/>
      <c r="E9" s="48"/>
      <c r="F9" s="48"/>
      <c r="H9" s="11" t="s">
        <v>2417</v>
      </c>
      <c r="I9" s="12" t="b">
        <f>s040.07500=0</f>
        <v>1</v>
      </c>
      <c r="J9" s="37" t="s">
        <v>417</v>
      </c>
    </row>
    <row r="10" spans="1:10" s="1" customFormat="1" ht="22.5">
      <c r="A10" s="178" t="s">
        <v>583</v>
      </c>
      <c r="B10" s="82"/>
      <c r="C10" s="35"/>
      <c r="D10" s="179" t="s">
        <v>925</v>
      </c>
      <c r="E10" s="35"/>
      <c r="F10" s="180" t="s">
        <v>926</v>
      </c>
      <c r="G10" s="59"/>
      <c r="H10" s="11" t="s">
        <v>2418</v>
      </c>
      <c r="I10" s="12" t="b">
        <f>s040.06010=s040.06020+s040.06021</f>
        <v>1</v>
      </c>
      <c r="J10" s="34" t="s">
        <v>417</v>
      </c>
    </row>
    <row r="11" spans="1:10" s="17" customFormat="1" ht="12" customHeight="1">
      <c r="A11" s="76"/>
      <c r="B11" s="264" t="s">
        <v>913</v>
      </c>
      <c r="C11" s="308"/>
      <c r="D11" s="549"/>
      <c r="E11" s="308"/>
      <c r="F11" s="550"/>
      <c r="H11" s="11" t="s">
        <v>500</v>
      </c>
      <c r="I11" s="12" t="b">
        <f>s040.06100=s040.06010+s040.06022+s040.06030+s040.06040</f>
        <v>1</v>
      </c>
      <c r="J11" s="37" t="s">
        <v>417</v>
      </c>
    </row>
    <row r="12" spans="1:10" s="17" customFormat="1" ht="12" customHeight="1">
      <c r="A12" s="76"/>
      <c r="B12" s="265" t="s">
        <v>899</v>
      </c>
      <c r="C12" s="286" t="s">
        <v>178</v>
      </c>
      <c r="D12" s="473"/>
      <c r="E12" s="474">
        <f aca="true" t="shared" si="0" ref="E12:E18">1000+C12</f>
        <v>7010</v>
      </c>
      <c r="F12" s="473"/>
      <c r="G12" s="182"/>
      <c r="H12" s="11" t="s">
        <v>501</v>
      </c>
      <c r="I12" s="12" t="b">
        <f>s040.07100=s040.07010+s040.07022+s040.07030+s040.07040</f>
        <v>1</v>
      </c>
      <c r="J12" s="37" t="s">
        <v>417</v>
      </c>
    </row>
    <row r="13" spans="1:10" s="17" customFormat="1" ht="11.25">
      <c r="A13" s="76"/>
      <c r="B13" s="266" t="s">
        <v>900</v>
      </c>
      <c r="C13" s="286" t="s">
        <v>179</v>
      </c>
      <c r="D13" s="345"/>
      <c r="E13" s="474">
        <f t="shared" si="0"/>
        <v>7020</v>
      </c>
      <c r="F13" s="345"/>
      <c r="G13" s="183"/>
      <c r="H13" s="11" t="s">
        <v>502</v>
      </c>
      <c r="I13" s="12" t="b">
        <f>s040.06110=s040.06120+s040.06121</f>
        <v>1</v>
      </c>
      <c r="J13" s="37" t="s">
        <v>417</v>
      </c>
    </row>
    <row r="14" spans="1:10" s="17" customFormat="1" ht="11.25">
      <c r="A14" s="76"/>
      <c r="B14" s="266" t="s">
        <v>901</v>
      </c>
      <c r="C14" s="286" t="s">
        <v>180</v>
      </c>
      <c r="D14" s="345"/>
      <c r="E14" s="474">
        <f t="shared" si="0"/>
        <v>7021</v>
      </c>
      <c r="F14" s="345"/>
      <c r="G14" s="183"/>
      <c r="H14" s="11" t="s">
        <v>503</v>
      </c>
      <c r="I14" s="12" t="b">
        <f>s040.07110=s040.07120+s040.07121</f>
        <v>1</v>
      </c>
      <c r="J14" s="37" t="s">
        <v>417</v>
      </c>
    </row>
    <row r="15" spans="1:10" s="17" customFormat="1" ht="12" customHeight="1">
      <c r="A15" s="76"/>
      <c r="B15" s="265" t="s">
        <v>902</v>
      </c>
      <c r="C15" s="286" t="s">
        <v>181</v>
      </c>
      <c r="D15" s="345"/>
      <c r="E15" s="474">
        <f t="shared" si="0"/>
        <v>7022</v>
      </c>
      <c r="F15" s="345"/>
      <c r="G15" s="183"/>
      <c r="H15" s="11" t="s">
        <v>504</v>
      </c>
      <c r="I15" s="12" t="b">
        <f>s040.06200=s040.06110+s040.06122+s040.06130+s040.06140</f>
        <v>1</v>
      </c>
      <c r="J15" s="37" t="s">
        <v>417</v>
      </c>
    </row>
    <row r="16" spans="1:10" s="43" customFormat="1" ht="12" customHeight="1">
      <c r="A16" s="76"/>
      <c r="B16" s="265" t="s">
        <v>903</v>
      </c>
      <c r="C16" s="286" t="s">
        <v>182</v>
      </c>
      <c r="D16" s="345"/>
      <c r="E16" s="474">
        <f t="shared" si="0"/>
        <v>7030</v>
      </c>
      <c r="F16" s="345"/>
      <c r="G16" s="183"/>
      <c r="H16" s="11" t="s">
        <v>505</v>
      </c>
      <c r="I16" s="12" t="b">
        <f>s040.07200=s040.07110+s040.07122+s040.07130+s040.07140</f>
        <v>1</v>
      </c>
      <c r="J16" s="34" t="s">
        <v>417</v>
      </c>
    </row>
    <row r="17" spans="1:10" s="43" customFormat="1" ht="11.25">
      <c r="A17" s="76"/>
      <c r="B17" s="265" t="s">
        <v>914</v>
      </c>
      <c r="C17" s="286" t="s">
        <v>183</v>
      </c>
      <c r="D17" s="346"/>
      <c r="E17" s="474">
        <f t="shared" si="0"/>
        <v>7040</v>
      </c>
      <c r="F17" s="346"/>
      <c r="G17" s="183"/>
      <c r="H17" s="11" t="s">
        <v>506</v>
      </c>
      <c r="I17" s="12" t="b">
        <f>s040.06310=s040.06320+s040.06321</f>
        <v>1</v>
      </c>
      <c r="J17" s="34" t="s">
        <v>417</v>
      </c>
    </row>
    <row r="18" spans="1:10" s="183" customFormat="1" ht="11.25">
      <c r="A18" s="707" t="s">
        <v>609</v>
      </c>
      <c r="B18" s="708"/>
      <c r="C18" s="184" t="s">
        <v>184</v>
      </c>
      <c r="D18" s="346"/>
      <c r="E18" s="184">
        <f t="shared" si="0"/>
        <v>7100</v>
      </c>
      <c r="F18" s="346"/>
      <c r="G18" s="182"/>
      <c r="H18" s="11" t="s">
        <v>507</v>
      </c>
      <c r="I18" s="12" t="b">
        <f>s040.07310=s040.07320+s040.07321</f>
        <v>1</v>
      </c>
      <c r="J18" s="37" t="s">
        <v>417</v>
      </c>
    </row>
    <row r="19" spans="1:10" s="17" customFormat="1" ht="11.25">
      <c r="A19" s="76"/>
      <c r="B19" s="264" t="s">
        <v>610</v>
      </c>
      <c r="C19" s="308"/>
      <c r="D19" s="530"/>
      <c r="E19" s="308"/>
      <c r="F19" s="548"/>
      <c r="H19" s="11" t="s">
        <v>509</v>
      </c>
      <c r="I19" s="12" t="b">
        <f>s040.07400=s040.07310+s040.07322+s040.07330</f>
        <v>1</v>
      </c>
      <c r="J19" s="37" t="s">
        <v>417</v>
      </c>
    </row>
    <row r="20" spans="1:10" s="17" customFormat="1" ht="11.25">
      <c r="A20" s="76"/>
      <c r="B20" s="265" t="s">
        <v>904</v>
      </c>
      <c r="C20" s="286" t="s">
        <v>185</v>
      </c>
      <c r="D20" s="473">
        <v>-5192000</v>
      </c>
      <c r="E20" s="474">
        <f aca="true" t="shared" si="1" ref="E20:E26">1000+C20</f>
        <v>7110</v>
      </c>
      <c r="F20" s="473">
        <v>-8507000</v>
      </c>
      <c r="G20" s="182"/>
      <c r="H20" s="11" t="s">
        <v>510</v>
      </c>
      <c r="I20" s="12" t="b">
        <f>s040.06500=s040.06100+s040.06200+s040.06400</f>
        <v>1</v>
      </c>
      <c r="J20" s="37" t="s">
        <v>417</v>
      </c>
    </row>
    <row r="21" spans="1:10" s="17" customFormat="1" ht="11.25">
      <c r="A21" s="76"/>
      <c r="B21" s="266" t="s">
        <v>905</v>
      </c>
      <c r="C21" s="286" t="s">
        <v>186</v>
      </c>
      <c r="D21" s="345">
        <v>-5192000</v>
      </c>
      <c r="E21" s="474">
        <f t="shared" si="1"/>
        <v>7120</v>
      </c>
      <c r="F21" s="345">
        <v>-8507000</v>
      </c>
      <c r="G21" s="183"/>
      <c r="H21" s="11" t="s">
        <v>511</v>
      </c>
      <c r="I21" s="12" t="b">
        <f>s040.07500=s040.07100+s040.07200+s040.07400</f>
        <v>1</v>
      </c>
      <c r="J21" s="37" t="s">
        <v>417</v>
      </c>
    </row>
    <row r="22" spans="1:10" s="17" customFormat="1" ht="11.25">
      <c r="A22" s="76"/>
      <c r="B22" s="266" t="s">
        <v>906</v>
      </c>
      <c r="C22" s="286" t="s">
        <v>187</v>
      </c>
      <c r="D22" s="345"/>
      <c r="E22" s="474">
        <f t="shared" si="1"/>
        <v>7121</v>
      </c>
      <c r="F22" s="345"/>
      <c r="G22" s="183"/>
      <c r="J22" s="37"/>
    </row>
    <row r="23" spans="1:10" s="17" customFormat="1" ht="11.25">
      <c r="A23" s="76"/>
      <c r="B23" s="265" t="s">
        <v>910</v>
      </c>
      <c r="C23" s="286" t="s">
        <v>188</v>
      </c>
      <c r="D23" s="345">
        <v>2416000</v>
      </c>
      <c r="E23" s="474">
        <f t="shared" si="1"/>
        <v>7122</v>
      </c>
      <c r="F23" s="345">
        <v>7314000</v>
      </c>
      <c r="G23" s="183"/>
      <c r="J23" s="37"/>
    </row>
    <row r="24" spans="1:10" s="43" customFormat="1" ht="11.25">
      <c r="A24" s="76"/>
      <c r="B24" s="265" t="s">
        <v>611</v>
      </c>
      <c r="C24" s="286" t="s">
        <v>189</v>
      </c>
      <c r="D24" s="345"/>
      <c r="E24" s="474">
        <f t="shared" si="1"/>
        <v>7130</v>
      </c>
      <c r="F24" s="345"/>
      <c r="G24" s="183"/>
      <c r="J24" s="34"/>
    </row>
    <row r="25" spans="1:10" s="43" customFormat="1" ht="11.25">
      <c r="A25" s="76"/>
      <c r="B25" s="265" t="s">
        <v>613</v>
      </c>
      <c r="C25" s="286" t="s">
        <v>190</v>
      </c>
      <c r="D25" s="346">
        <v>2776000</v>
      </c>
      <c r="E25" s="474">
        <f t="shared" si="1"/>
        <v>7140</v>
      </c>
      <c r="F25" s="346">
        <v>1193000</v>
      </c>
      <c r="G25" s="183"/>
      <c r="J25" s="34"/>
    </row>
    <row r="26" spans="1:10" s="183" customFormat="1" ht="11.25">
      <c r="A26" s="707" t="s">
        <v>612</v>
      </c>
      <c r="B26" s="708"/>
      <c r="C26" s="184" t="s">
        <v>191</v>
      </c>
      <c r="D26" s="346">
        <v>0</v>
      </c>
      <c r="E26" s="184">
        <f t="shared" si="1"/>
        <v>7200</v>
      </c>
      <c r="F26" s="346">
        <v>0</v>
      </c>
      <c r="G26" s="182"/>
      <c r="J26" s="37"/>
    </row>
    <row r="27" spans="1:10" s="17" customFormat="1" ht="11.25">
      <c r="A27" s="76"/>
      <c r="B27" s="264" t="s">
        <v>620</v>
      </c>
      <c r="C27" s="308"/>
      <c r="D27" s="530"/>
      <c r="E27" s="308"/>
      <c r="F27" s="548"/>
      <c r="J27" s="37"/>
    </row>
    <row r="28" spans="1:10" s="17" customFormat="1" ht="12" customHeight="1">
      <c r="A28" s="76"/>
      <c r="B28" s="265" t="s">
        <v>614</v>
      </c>
      <c r="C28" s="286" t="s">
        <v>192</v>
      </c>
      <c r="D28" s="473"/>
      <c r="E28" s="474">
        <f aca="true" t="shared" si="2" ref="E28:E33">1000+C28</f>
        <v>7310</v>
      </c>
      <c r="F28" s="473"/>
      <c r="G28" s="182"/>
      <c r="J28" s="37"/>
    </row>
    <row r="29" spans="1:10" s="17" customFormat="1" ht="11.25">
      <c r="A29" s="76"/>
      <c r="B29" s="266" t="s">
        <v>615</v>
      </c>
      <c r="C29" s="286" t="s">
        <v>193</v>
      </c>
      <c r="D29" s="345"/>
      <c r="E29" s="474">
        <f t="shared" si="2"/>
        <v>7320</v>
      </c>
      <c r="F29" s="345"/>
      <c r="G29" s="183"/>
      <c r="J29" s="37"/>
    </row>
    <row r="30" spans="1:10" s="17" customFormat="1" ht="11.25">
      <c r="A30" s="76"/>
      <c r="B30" s="266" t="s">
        <v>616</v>
      </c>
      <c r="C30" s="286" t="s">
        <v>194</v>
      </c>
      <c r="D30" s="345"/>
      <c r="E30" s="474">
        <f t="shared" si="2"/>
        <v>7321</v>
      </c>
      <c r="F30" s="345"/>
      <c r="G30" s="183"/>
      <c r="J30" s="37"/>
    </row>
    <row r="31" spans="1:10" s="17" customFormat="1" ht="11.25">
      <c r="A31" s="76"/>
      <c r="B31" s="265" t="s">
        <v>911</v>
      </c>
      <c r="C31" s="286" t="s">
        <v>195</v>
      </c>
      <c r="D31" s="345">
        <v>78000</v>
      </c>
      <c r="E31" s="474">
        <f t="shared" si="2"/>
        <v>7322</v>
      </c>
      <c r="F31" s="345">
        <v>131000</v>
      </c>
      <c r="G31" s="183"/>
      <c r="J31" s="37"/>
    </row>
    <row r="32" spans="1:10" s="17" customFormat="1" ht="11.25">
      <c r="A32" s="76"/>
      <c r="B32" s="265" t="s">
        <v>617</v>
      </c>
      <c r="C32" s="286" t="s">
        <v>196</v>
      </c>
      <c r="D32" s="346">
        <v>-78000</v>
      </c>
      <c r="E32" s="474">
        <f t="shared" si="2"/>
        <v>7330</v>
      </c>
      <c r="F32" s="346">
        <v>-131000</v>
      </c>
      <c r="G32" s="183"/>
      <c r="J32" s="37"/>
    </row>
    <row r="33" spans="1:10" s="43" customFormat="1" ht="11.25">
      <c r="A33" s="707" t="s">
        <v>618</v>
      </c>
      <c r="B33" s="708"/>
      <c r="C33" s="184" t="s">
        <v>197</v>
      </c>
      <c r="D33" s="346">
        <v>0</v>
      </c>
      <c r="E33" s="184">
        <f t="shared" si="2"/>
        <v>7400</v>
      </c>
      <c r="F33" s="346">
        <v>0</v>
      </c>
      <c r="G33" s="182"/>
      <c r="J33" s="34"/>
    </row>
    <row r="34" spans="1:10" s="17" customFormat="1" ht="11.25">
      <c r="A34" s="461"/>
      <c r="B34" s="458"/>
      <c r="C34" s="459"/>
      <c r="D34" s="533"/>
      <c r="E34" s="459"/>
      <c r="F34" s="534"/>
      <c r="J34" s="37"/>
    </row>
    <row r="35" spans="1:10" s="17" customFormat="1" ht="11.25">
      <c r="A35" s="707" t="s">
        <v>619</v>
      </c>
      <c r="B35" s="709"/>
      <c r="C35" s="184" t="s">
        <v>198</v>
      </c>
      <c r="D35" s="357"/>
      <c r="E35" s="184">
        <f>1000+C35</f>
        <v>7500</v>
      </c>
      <c r="F35" s="356"/>
      <c r="G35" s="182"/>
      <c r="J35" s="37"/>
    </row>
    <row r="36" spans="2:10" s="17" customFormat="1" ht="11.25">
      <c r="B36" s="181"/>
      <c r="C36" s="185"/>
      <c r="D36" s="324"/>
      <c r="E36" s="185"/>
      <c r="F36" s="324"/>
      <c r="J36" s="37"/>
    </row>
    <row r="37" spans="1:10" s="17" customFormat="1" ht="11.25">
      <c r="A37" s="21"/>
      <c r="B37" s="39"/>
      <c r="C37" s="177"/>
      <c r="D37" s="325"/>
      <c r="E37" s="177"/>
      <c r="F37" s="2"/>
      <c r="J37" s="37"/>
    </row>
    <row r="38" spans="1:4" ht="11.25">
      <c r="A38" s="183"/>
      <c r="D38" s="325"/>
    </row>
    <row r="39" ht="11.25">
      <c r="D39" s="325"/>
    </row>
    <row r="40" ht="11.25">
      <c r="D40" s="325"/>
    </row>
  </sheetData>
  <sheetProtection password="CE28" sheet="1" objects="1" scenarios="1"/>
  <mergeCells count="10">
    <mergeCell ref="A33:B33"/>
    <mergeCell ref="A18:B18"/>
    <mergeCell ref="A35:B35"/>
    <mergeCell ref="A26:B26"/>
    <mergeCell ref="A1:H1"/>
    <mergeCell ref="B8:F8"/>
    <mergeCell ref="B4:F4"/>
    <mergeCell ref="B5:F5"/>
    <mergeCell ref="B6:F6"/>
    <mergeCell ref="B7:F7"/>
  </mergeCells>
  <conditionalFormatting sqref="D12">
    <cfRule type="expression" priority="1" dxfId="0" stopIfTrue="1">
      <formula>NOT(I10)</formula>
    </cfRule>
  </conditionalFormatting>
  <conditionalFormatting sqref="D20">
    <cfRule type="expression" priority="2" dxfId="0" stopIfTrue="1">
      <formula>NOT(I13)</formula>
    </cfRule>
  </conditionalFormatting>
  <conditionalFormatting sqref="F20">
    <cfRule type="expression" priority="3" dxfId="0" stopIfTrue="1">
      <formula>NOT(I14)</formula>
    </cfRule>
  </conditionalFormatting>
  <conditionalFormatting sqref="D28">
    <cfRule type="expression" priority="4" dxfId="0" stopIfTrue="1">
      <formula>NOT(I17)</formula>
    </cfRule>
  </conditionalFormatting>
  <conditionalFormatting sqref="F28">
    <cfRule type="expression" priority="5" dxfId="0" stopIfTrue="1">
      <formula>NOT(I18)</formula>
    </cfRule>
  </conditionalFormatting>
  <conditionalFormatting sqref="D18">
    <cfRule type="expression" priority="6" dxfId="0" stopIfTrue="1">
      <formula>NOT(I2)</formula>
    </cfRule>
    <cfRule type="expression" priority="7" dxfId="0" stopIfTrue="1">
      <formula>NOT(I11)</formula>
    </cfRule>
  </conditionalFormatting>
  <conditionalFormatting sqref="F18">
    <cfRule type="expression" priority="8" dxfId="0" stopIfTrue="1">
      <formula>NOT(I3)</formula>
    </cfRule>
    <cfRule type="expression" priority="9" dxfId="0" stopIfTrue="1">
      <formula>NOT(I12)</formula>
    </cfRule>
  </conditionalFormatting>
  <conditionalFormatting sqref="D26">
    <cfRule type="expression" priority="10" dxfId="0" stopIfTrue="1">
      <formula>NOT(I4)</formula>
    </cfRule>
    <cfRule type="expression" priority="11" dxfId="0" stopIfTrue="1">
      <formula>NOT(I15)</formula>
    </cfRule>
  </conditionalFormatting>
  <conditionalFormatting sqref="F26">
    <cfRule type="expression" priority="12" dxfId="0" stopIfTrue="1">
      <formula>NOT(I5)</formula>
    </cfRule>
    <cfRule type="expression" priority="13" dxfId="0" stopIfTrue="1">
      <formula>NOT(I16)</formula>
    </cfRule>
  </conditionalFormatting>
  <conditionalFormatting sqref="D33">
    <cfRule type="expression" priority="14" dxfId="0" stopIfTrue="1">
      <formula>NOT(I6)</formula>
    </cfRule>
    <cfRule type="expression" priority="15" dxfId="0" stopIfTrue="1">
      <formula>NOT(#REF!)</formula>
    </cfRule>
  </conditionalFormatting>
  <conditionalFormatting sqref="D35">
    <cfRule type="expression" priority="16" dxfId="0" stopIfTrue="1">
      <formula>NOT(I8)</formula>
    </cfRule>
    <cfRule type="expression" priority="17" dxfId="0" stopIfTrue="1">
      <formula>NOT(I20)</formula>
    </cfRule>
  </conditionalFormatting>
  <conditionalFormatting sqref="F33 F35">
    <cfRule type="expression" priority="18" dxfId="0" stopIfTrue="1">
      <formula>NOT(I7)</formula>
    </cfRule>
    <cfRule type="expression" priority="19" dxfId="0" stopIfTrue="1">
      <formula>NOT(I19)</formula>
    </cfRule>
  </conditionalFormatting>
  <conditionalFormatting sqref="F12">
    <cfRule type="expression" priority="20" dxfId="0" stopIfTrue="1">
      <formula>NOT(#REF!)</formula>
    </cfRule>
  </conditionalFormatting>
  <conditionalFormatting sqref="I2:I21">
    <cfRule type="cellIs" priority="21" dxfId="0" operator="equal" stopIfTrue="1">
      <formula>FALSE</formula>
    </cfRule>
  </conditionalFormatting>
  <dataValidations count="1">
    <dataValidation type="whole" operator="lessThanOrEqual" allowBlank="1" showInputMessage="1" showErrorMessage="1" errorTitle="Celda de Tipo Numérico Entero" sqref="D28:D33 F28:F33 F35 D35 D12:D18 F12:F18 D20:D26 F20:F26">
      <formula1>9.99999999999999E+37</formula1>
    </dataValidation>
  </dataValidations>
  <printOptions/>
  <pageMargins left="0.3937007874015748" right="0.3937007874015748" top="0.5905511811023623" bottom="0.5905511811023623" header="0" footer="0.3937007874015748"/>
  <pageSetup horizontalDpi="600" verticalDpi="600" orientation="portrait" paperSize="9" scale="53" r:id="rId2"/>
  <legacyDrawing r:id="rId1"/>
</worksheet>
</file>

<file path=xl/worksheets/sheet6.xml><?xml version="1.0" encoding="utf-8"?>
<worksheet xmlns="http://schemas.openxmlformats.org/spreadsheetml/2006/main" xmlns:r="http://schemas.openxmlformats.org/officeDocument/2006/relationships">
  <sheetPr codeName="Hoja5"/>
  <dimension ref="A1:CE164"/>
  <sheetViews>
    <sheetView zoomScale="90" zoomScaleNormal="90" zoomScaleSheetLayoutView="100" workbookViewId="0" topLeftCell="A1">
      <selection activeCell="A37" sqref="A37"/>
    </sheetView>
  </sheetViews>
  <sheetFormatPr defaultColWidth="11.421875" defaultRowHeight="12.75"/>
  <cols>
    <col min="1" max="1" width="32.00390625" style="7" customWidth="1"/>
    <col min="2" max="2" width="5.00390625" style="7" customWidth="1"/>
    <col min="3" max="3" width="17.00390625" style="7" customWidth="1"/>
    <col min="4" max="4" width="5.00390625" style="7" customWidth="1"/>
    <col min="5" max="5" width="17.140625" style="7" customWidth="1"/>
    <col min="6" max="6" width="5.140625" style="7" customWidth="1"/>
    <col min="7" max="7" width="17.140625" style="7" customWidth="1"/>
    <col min="8" max="8" width="6.00390625" style="7" customWidth="1"/>
    <col min="9" max="9" width="8.421875" style="7" customWidth="1"/>
    <col min="10" max="10" width="5.7109375" style="7" customWidth="1"/>
    <col min="11" max="11" width="4.140625" style="7" customWidth="1"/>
    <col min="12" max="12" width="5.140625" style="7" customWidth="1"/>
    <col min="13" max="13" width="17.140625" style="7" customWidth="1"/>
    <col min="14" max="14" width="5.140625" style="7" customWidth="1"/>
    <col min="15" max="15" width="17.28125" style="7" customWidth="1"/>
    <col min="16" max="16" width="5.140625" style="7" customWidth="1"/>
    <col min="17" max="17" width="17.140625" style="7" customWidth="1"/>
    <col min="18" max="18" width="5.140625" style="7" customWidth="1"/>
    <col min="19" max="19" width="17.140625" style="7" customWidth="1"/>
    <col min="20" max="20" width="5.140625" style="7" customWidth="1"/>
    <col min="21" max="21" width="17.140625" style="7" customWidth="1"/>
    <col min="22" max="22" width="5.140625" style="7" customWidth="1"/>
    <col min="23" max="23" width="17.140625" style="7" customWidth="1"/>
    <col min="24" max="24" width="5.140625" style="7" customWidth="1"/>
    <col min="25" max="25" width="17.140625" style="7" customWidth="1"/>
    <col min="26" max="26" width="5.140625" style="7" customWidth="1"/>
    <col min="27" max="27" width="17.00390625" style="7" customWidth="1"/>
    <col min="28" max="28" width="4.00390625" style="1" hidden="1" customWidth="1"/>
    <col min="29" max="29" width="30.28125" style="361" hidden="1" customWidth="1"/>
    <col min="30" max="30" width="13.57421875" style="165" hidden="1" customWidth="1"/>
    <col min="31" max="31" width="5.7109375" style="1" hidden="1" customWidth="1"/>
    <col min="32" max="32" width="15.7109375" style="1" hidden="1" customWidth="1"/>
    <col min="33" max="35" width="9.140625" style="1" hidden="1" customWidth="1"/>
    <col min="36" max="36" width="16.00390625" style="1" hidden="1" customWidth="1"/>
    <col min="37" max="39" width="9.140625" style="1" hidden="1" customWidth="1"/>
    <col min="40" max="16384" width="9.140625" style="1" customWidth="1"/>
  </cols>
  <sheetData>
    <row r="1" spans="1:30" ht="40.5" customHeight="1">
      <c r="A1" s="710" t="s">
        <v>897</v>
      </c>
      <c r="B1" s="711"/>
      <c r="C1" s="711"/>
      <c r="D1" s="711"/>
      <c r="E1" s="711"/>
      <c r="F1" s="711"/>
      <c r="G1" s="711"/>
      <c r="H1" s="711"/>
      <c r="I1" s="500"/>
      <c r="J1" s="500"/>
      <c r="K1" s="500"/>
      <c r="L1" s="500"/>
      <c r="M1" s="500"/>
      <c r="N1" s="500"/>
      <c r="O1" s="500"/>
      <c r="P1" s="500"/>
      <c r="Q1" s="500"/>
      <c r="R1" s="500"/>
      <c r="S1" s="500"/>
      <c r="T1" s="500"/>
      <c r="U1" s="500"/>
      <c r="V1" s="500"/>
      <c r="W1" s="500"/>
      <c r="X1" s="500"/>
      <c r="Y1" s="500"/>
      <c r="Z1" s="500"/>
      <c r="AA1" s="501"/>
      <c r="AC1" s="253" t="s">
        <v>1391</v>
      </c>
      <c r="AD1" s="10" t="s">
        <v>1392</v>
      </c>
    </row>
    <row r="2" spans="1:36" ht="11.25">
      <c r="A2" s="294"/>
      <c r="B2" s="57"/>
      <c r="C2" s="298"/>
      <c r="D2" s="298"/>
      <c r="E2" s="298"/>
      <c r="F2" s="298"/>
      <c r="G2" s="298"/>
      <c r="H2" s="298"/>
      <c r="I2" s="298"/>
      <c r="J2" s="298"/>
      <c r="K2" s="298"/>
      <c r="L2" s="298"/>
      <c r="M2" s="298"/>
      <c r="N2" s="298"/>
      <c r="O2" s="298"/>
      <c r="P2" s="298"/>
      <c r="Q2" s="298"/>
      <c r="R2" s="298"/>
      <c r="S2" s="298"/>
      <c r="T2" s="298"/>
      <c r="U2" s="298"/>
      <c r="V2" s="298"/>
      <c r="W2" s="57"/>
      <c r="X2" s="57"/>
      <c r="Y2" s="298"/>
      <c r="Z2" s="298"/>
      <c r="AA2" s="499" t="s">
        <v>2318</v>
      </c>
      <c r="AB2" s="7"/>
      <c r="AC2" s="255" t="s">
        <v>588</v>
      </c>
      <c r="AD2" s="317" t="b">
        <f>s051.00204=s051.00214-s051.00200-s051.00201-s051.00203</f>
        <v>0</v>
      </c>
      <c r="AE2" s="1" t="s">
        <v>417</v>
      </c>
      <c r="AJ2" s="1" t="s">
        <v>529</v>
      </c>
    </row>
    <row r="3" spans="1:36" s="17" customFormat="1" ht="11.25">
      <c r="A3" s="166"/>
      <c r="B3" s="16"/>
      <c r="C3" s="167"/>
      <c r="D3" s="167"/>
      <c r="E3" s="167"/>
      <c r="F3" s="167"/>
      <c r="G3" s="167"/>
      <c r="H3" s="167"/>
      <c r="I3" s="167"/>
      <c r="J3" s="167"/>
      <c r="K3" s="167"/>
      <c r="L3" s="167"/>
      <c r="M3" s="167"/>
      <c r="N3" s="167"/>
      <c r="O3" s="167"/>
      <c r="P3" s="167"/>
      <c r="Q3" s="167"/>
      <c r="R3" s="167"/>
      <c r="S3" s="167"/>
      <c r="T3" s="167"/>
      <c r="U3" s="167"/>
      <c r="V3" s="167"/>
      <c r="W3" s="167"/>
      <c r="X3" s="167"/>
      <c r="Y3" s="167"/>
      <c r="Z3" s="167"/>
      <c r="AA3" s="168"/>
      <c r="AB3" s="7"/>
      <c r="AC3" s="255" t="s">
        <v>512</v>
      </c>
      <c r="AD3" s="317" t="b">
        <f>s051.00204=s051.00050</f>
        <v>1</v>
      </c>
      <c r="AE3" s="17" t="s">
        <v>417</v>
      </c>
      <c r="AJ3" s="17" t="s">
        <v>530</v>
      </c>
    </row>
    <row r="4" spans="1:36" s="2" customFormat="1" ht="11.25">
      <c r="A4" s="206" t="s">
        <v>1588</v>
      </c>
      <c r="B4" s="280"/>
      <c r="C4" s="281"/>
      <c r="D4" s="284"/>
      <c r="E4" s="274" t="str">
        <f>IF(ISBLANK(s000.00100),"",s000.00100)</f>
        <v>F.T.A. SANTANDER FINANCIACION 3</v>
      </c>
      <c r="F4" s="272"/>
      <c r="G4" s="275"/>
      <c r="H4" s="273"/>
      <c r="I4" s="273"/>
      <c r="J4" s="273"/>
      <c r="K4" s="267"/>
      <c r="L4" s="267"/>
      <c r="M4" s="267"/>
      <c r="N4" s="267"/>
      <c r="O4" s="267"/>
      <c r="P4" s="267"/>
      <c r="Q4" s="267"/>
      <c r="R4" s="267"/>
      <c r="S4" s="267"/>
      <c r="T4" s="267"/>
      <c r="U4" s="267"/>
      <c r="V4" s="267"/>
      <c r="W4" s="267"/>
      <c r="X4" s="267"/>
      <c r="Y4" s="267"/>
      <c r="Z4" s="267"/>
      <c r="AA4" s="268"/>
      <c r="AC4" s="255" t="s">
        <v>513</v>
      </c>
      <c r="AD4" s="317" t="b">
        <f>s051.00214=s051.00110</f>
        <v>1</v>
      </c>
      <c r="AE4" s="2" t="s">
        <v>417</v>
      </c>
      <c r="AJ4" s="2" t="s">
        <v>531</v>
      </c>
    </row>
    <row r="5" spans="1:36" s="2" customFormat="1" ht="11.25">
      <c r="A5" s="208" t="s">
        <v>1589</v>
      </c>
      <c r="B5" s="282"/>
      <c r="C5" s="283"/>
      <c r="D5" s="285"/>
      <c r="E5" s="278">
        <f>IF(ISBLANK(s000.00130),"",s000.00130)</f>
      </c>
      <c r="F5" s="276"/>
      <c r="G5" s="279"/>
      <c r="H5" s="277"/>
      <c r="I5" s="277"/>
      <c r="J5" s="277"/>
      <c r="K5" s="218"/>
      <c r="L5" s="218"/>
      <c r="M5" s="218"/>
      <c r="N5" s="218"/>
      <c r="O5" s="218"/>
      <c r="P5" s="218"/>
      <c r="Q5" s="218"/>
      <c r="R5" s="218"/>
      <c r="S5" s="218"/>
      <c r="T5" s="218"/>
      <c r="U5" s="218"/>
      <c r="V5" s="218"/>
      <c r="W5" s="218"/>
      <c r="X5" s="218"/>
      <c r="Y5" s="218"/>
      <c r="Z5" s="218"/>
      <c r="AA5" s="219"/>
      <c r="AC5" s="255" t="s">
        <v>514</v>
      </c>
      <c r="AD5" s="318" t="b">
        <f>IF(AND(NOT(ISBLANK(s051.00839)),NOT(s051.00839=0)),s051.00849=(s051.00829/s051.00839),IF(AND(OR(ISBLANK(s051.00849),(s051.00849=0)),OR(ISBLANK(s051.00829),(s051.00829=0))),TRUE,FALSE))</f>
        <v>1</v>
      </c>
      <c r="AE5" s="2" t="s">
        <v>417</v>
      </c>
      <c r="AJ5" s="2" t="s">
        <v>532</v>
      </c>
    </row>
    <row r="6" spans="1:36" s="2" customFormat="1" ht="11.25">
      <c r="A6" s="208" t="s">
        <v>1590</v>
      </c>
      <c r="B6" s="282"/>
      <c r="C6" s="283"/>
      <c r="D6" s="285"/>
      <c r="E6" s="278" t="str">
        <f>IF(ISBLANK(s000.00150),"",s000.00150)</f>
        <v>Santander de Titulizacion S.G.F.T., S.A</v>
      </c>
      <c r="F6" s="276"/>
      <c r="G6" s="279"/>
      <c r="H6" s="277"/>
      <c r="I6" s="277"/>
      <c r="J6" s="277"/>
      <c r="K6" s="218"/>
      <c r="L6" s="218"/>
      <c r="M6" s="218"/>
      <c r="N6" s="218"/>
      <c r="O6" s="218"/>
      <c r="P6" s="218"/>
      <c r="Q6" s="218"/>
      <c r="R6" s="218"/>
      <c r="S6" s="218"/>
      <c r="T6" s="218"/>
      <c r="U6" s="218"/>
      <c r="V6" s="218"/>
      <c r="W6" s="218"/>
      <c r="X6" s="218"/>
      <c r="Y6" s="218"/>
      <c r="Z6" s="218"/>
      <c r="AA6" s="269"/>
      <c r="AC6" s="255" t="s">
        <v>515</v>
      </c>
      <c r="AD6" s="317" t="b">
        <f>s051.00050=s051.01316</f>
        <v>1</v>
      </c>
      <c r="AE6" s="2" t="s">
        <v>417</v>
      </c>
      <c r="AJ6" s="2" t="s">
        <v>533</v>
      </c>
    </row>
    <row r="7" spans="1:36" s="2" customFormat="1" ht="11.25">
      <c r="A7" s="208" t="s">
        <v>2233</v>
      </c>
      <c r="B7" s="282"/>
      <c r="C7" s="283"/>
      <c r="D7" s="285"/>
      <c r="E7" s="278" t="str">
        <f>IF(ISBLANK(s000.00170),"",s000.00170)</f>
        <v>No</v>
      </c>
      <c r="F7" s="276"/>
      <c r="G7" s="279"/>
      <c r="H7" s="277"/>
      <c r="I7" s="277"/>
      <c r="J7" s="277"/>
      <c r="K7" s="218"/>
      <c r="L7" s="218"/>
      <c r="M7" s="218"/>
      <c r="N7" s="218"/>
      <c r="O7" s="218"/>
      <c r="P7" s="218"/>
      <c r="Q7" s="218"/>
      <c r="R7" s="218"/>
      <c r="S7" s="218"/>
      <c r="T7" s="218"/>
      <c r="U7" s="218"/>
      <c r="V7" s="218"/>
      <c r="W7" s="218"/>
      <c r="X7" s="218"/>
      <c r="Y7" s="218"/>
      <c r="Z7" s="218"/>
      <c r="AA7" s="269"/>
      <c r="AC7" s="255" t="s">
        <v>516</v>
      </c>
      <c r="AD7" s="317" t="b">
        <f>s051.00021=s051.01306</f>
        <v>1</v>
      </c>
      <c r="AE7" s="2" t="s">
        <v>417</v>
      </c>
      <c r="AJ7" s="2" t="s">
        <v>534</v>
      </c>
    </row>
    <row r="8" spans="1:36" s="2" customFormat="1" ht="11.25">
      <c r="A8" s="208" t="s">
        <v>2232</v>
      </c>
      <c r="B8" s="282"/>
      <c r="C8" s="283"/>
      <c r="D8" s="285"/>
      <c r="E8" s="278" t="str">
        <f>IF(ISBLANK(s000.00180),"",s000.00180)</f>
        <v>Primer Semestre</v>
      </c>
      <c r="F8" s="276"/>
      <c r="G8" s="279"/>
      <c r="H8" s="277"/>
      <c r="I8" s="277"/>
      <c r="J8" s="277"/>
      <c r="K8" s="218"/>
      <c r="L8" s="218"/>
      <c r="M8" s="218"/>
      <c r="N8" s="218"/>
      <c r="O8" s="218"/>
      <c r="P8" s="218"/>
      <c r="Q8" s="218"/>
      <c r="R8" s="218"/>
      <c r="S8" s="218"/>
      <c r="T8" s="218"/>
      <c r="U8" s="218"/>
      <c r="V8" s="218"/>
      <c r="W8" s="218"/>
      <c r="X8" s="218"/>
      <c r="Y8" s="218"/>
      <c r="Z8" s="218"/>
      <c r="AA8" s="269"/>
      <c r="AC8" s="255" t="s">
        <v>517</v>
      </c>
      <c r="AD8" s="317" t="b">
        <f>s051.00080=s051.01326</f>
        <v>1</v>
      </c>
      <c r="AE8" s="2" t="s">
        <v>417</v>
      </c>
      <c r="AJ8" s="2" t="s">
        <v>535</v>
      </c>
    </row>
    <row r="9" spans="1:36" s="17" customFormat="1" ht="11.25">
      <c r="A9" s="205" t="s">
        <v>2234</v>
      </c>
      <c r="B9" s="254"/>
      <c r="C9" s="372"/>
      <c r="D9" s="373"/>
      <c r="E9" s="712"/>
      <c r="F9" s="713"/>
      <c r="G9" s="713"/>
      <c r="H9" s="713"/>
      <c r="I9" s="713"/>
      <c r="J9" s="714"/>
      <c r="K9" s="379"/>
      <c r="L9" s="379"/>
      <c r="M9" s="379"/>
      <c r="N9" s="375"/>
      <c r="O9" s="375"/>
      <c r="P9" s="375"/>
      <c r="Q9" s="375"/>
      <c r="R9" s="375"/>
      <c r="S9" s="375"/>
      <c r="T9" s="375"/>
      <c r="U9" s="375"/>
      <c r="V9" s="375"/>
      <c r="W9" s="377"/>
      <c r="X9" s="377"/>
      <c r="Y9" s="375"/>
      <c r="Z9" s="375"/>
      <c r="AA9" s="378"/>
      <c r="AB9" s="7"/>
      <c r="AC9" s="255" t="s">
        <v>518</v>
      </c>
      <c r="AD9" s="317" t="b">
        <f>s051.00110=s051.01336</f>
        <v>1</v>
      </c>
      <c r="AE9" s="17" t="s">
        <v>417</v>
      </c>
      <c r="AJ9" s="17" t="s">
        <v>536</v>
      </c>
    </row>
    <row r="10" spans="1:36" s="7" customFormat="1" ht="11.25">
      <c r="A10" s="1"/>
      <c r="B10" s="1"/>
      <c r="C10" s="1"/>
      <c r="D10" s="1"/>
      <c r="E10" s="1"/>
      <c r="F10" s="1"/>
      <c r="G10" s="1"/>
      <c r="H10" s="1"/>
      <c r="I10" s="1"/>
      <c r="J10" s="1"/>
      <c r="K10" s="1"/>
      <c r="L10" s="1"/>
      <c r="M10" s="1"/>
      <c r="N10" s="1"/>
      <c r="O10" s="1"/>
      <c r="P10" s="1"/>
      <c r="Q10" s="1"/>
      <c r="R10" s="1"/>
      <c r="S10" s="1"/>
      <c r="T10" s="1"/>
      <c r="U10" s="1"/>
      <c r="V10" s="1"/>
      <c r="W10" s="1"/>
      <c r="X10" s="1"/>
      <c r="Y10" s="1"/>
      <c r="Z10" s="1"/>
      <c r="AA10" s="1"/>
      <c r="AC10" s="255" t="s">
        <v>519</v>
      </c>
      <c r="AD10" s="317" t="b">
        <f>s051.00140=s051.01346</f>
        <v>1</v>
      </c>
      <c r="AE10" s="7" t="s">
        <v>417</v>
      </c>
      <c r="AJ10" s="7" t="s">
        <v>537</v>
      </c>
    </row>
    <row r="11" spans="1:36" s="7" customFormat="1" ht="11.25">
      <c r="A11" s="49" t="s">
        <v>479</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1"/>
      <c r="AC11" s="255" t="s">
        <v>520</v>
      </c>
      <c r="AD11" s="317" t="b">
        <f>s051.00170=s051.01356</f>
        <v>1</v>
      </c>
      <c r="AE11" s="7" t="s">
        <v>417</v>
      </c>
      <c r="AJ11" s="7" t="s">
        <v>538</v>
      </c>
    </row>
    <row r="12" spans="1:36" s="7" customFormat="1" ht="11.25">
      <c r="A12" s="555"/>
      <c r="B12" s="267"/>
      <c r="C12" s="267"/>
      <c r="D12" s="267"/>
      <c r="E12" s="267"/>
      <c r="F12" s="267"/>
      <c r="G12" s="267" t="s">
        <v>2476</v>
      </c>
      <c r="H12" s="267"/>
      <c r="I12" s="267"/>
      <c r="J12" s="267"/>
      <c r="K12" s="267"/>
      <c r="L12" s="267"/>
      <c r="M12" s="267"/>
      <c r="N12" s="267"/>
      <c r="O12" s="267"/>
      <c r="P12" s="267"/>
      <c r="Q12" s="267"/>
      <c r="R12" s="267"/>
      <c r="S12" s="267"/>
      <c r="T12" s="267"/>
      <c r="U12" s="267"/>
      <c r="V12" s="267"/>
      <c r="W12" s="267"/>
      <c r="X12" s="267"/>
      <c r="Y12" s="267"/>
      <c r="Z12" s="267"/>
      <c r="AA12" s="552"/>
      <c r="AC12" s="256" t="s">
        <v>33</v>
      </c>
      <c r="AD12" s="317" t="b">
        <f>s051.00021=s051.00001+s051.00002+s051.00003+s051.00004+s051.00005+s051.00007+s051.00008+s051.00009+s051.00010+s051.00011+s051.00012+s051.00013+s051.00014+s051.00015+s051.00016+s051.00017+s051.00018+s051.00019+s051.00020</f>
        <v>1</v>
      </c>
      <c r="AE12" s="7" t="s">
        <v>417</v>
      </c>
      <c r="AJ12" s="7" t="s">
        <v>539</v>
      </c>
    </row>
    <row r="13" spans="1:36" s="7" customFormat="1" ht="11.25">
      <c r="A13" s="556" t="s">
        <v>584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9"/>
      <c r="AC13" s="256" t="s">
        <v>60</v>
      </c>
      <c r="AD13" s="317" t="b">
        <f>s051.00050=s051.00030+s051.00031+s051.00032+s051.00033+s051.00034+s051.00036+s051.00037+s051.00038+s051.00039+s051.00040+s051.00041+s051.00042+s051.00043+s051.00044+s051.00045+s051.00046+s051.00047+s051.00048+s051.00049</f>
        <v>1</v>
      </c>
      <c r="AE13" s="7" t="s">
        <v>417</v>
      </c>
      <c r="AJ13" s="7" t="s">
        <v>540</v>
      </c>
    </row>
    <row r="14" spans="1:36" s="7" customFormat="1" ht="11.25">
      <c r="A14" s="560"/>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1"/>
      <c r="AC14" s="256" t="s">
        <v>2430</v>
      </c>
      <c r="AD14" s="317" t="b">
        <f>s051.00080=s051.00060+s051.00061+s051.00062+s051.00063+s051.00064+s051.00066+s051.00067+s051.00068+s051.00069+s051.00070+s051.00071+s051.00072+s051.00073+s051.00074+s051.00075+s051.00076+s051.00077+s051.00078+s051.00079</f>
        <v>1</v>
      </c>
      <c r="AE14" s="7" t="s">
        <v>417</v>
      </c>
      <c r="AJ14" s="7" t="s">
        <v>541</v>
      </c>
    </row>
    <row r="15" spans="1:36" s="7" customFormat="1" ht="11.25">
      <c r="A15" s="558"/>
      <c r="B15" s="77"/>
      <c r="C15" s="77"/>
      <c r="D15" s="77"/>
      <c r="E15" s="77"/>
      <c r="F15" s="77"/>
      <c r="G15" s="77"/>
      <c r="H15" s="77"/>
      <c r="I15" s="77"/>
      <c r="J15" s="77"/>
      <c r="K15" s="77"/>
      <c r="L15" s="808" t="s">
        <v>1507</v>
      </c>
      <c r="M15" s="808"/>
      <c r="N15" s="808"/>
      <c r="O15" s="808"/>
      <c r="P15" s="77"/>
      <c r="Q15" s="77"/>
      <c r="R15" s="77"/>
      <c r="S15" s="77"/>
      <c r="T15" s="77"/>
      <c r="U15" s="559"/>
      <c r="AC15" s="256" t="s">
        <v>2431</v>
      </c>
      <c r="AD15" s="317" t="b">
        <f>s051.00110=s051.00090+s051.00091+s051.00092+s051.00093+s051.00094+s051.00096+s051.00097+s051.00098+s051.00099+s051.00100+s051.00101+s051.00102+s051.00103+s051.00104+s051.00105+s051.00106+s051.00107+s051.00108+s051.00109</f>
        <v>1</v>
      </c>
      <c r="AE15" s="7" t="s">
        <v>417</v>
      </c>
      <c r="AJ15" s="7" t="s">
        <v>542</v>
      </c>
    </row>
    <row r="16" spans="1:36" s="7" customFormat="1" ht="11.25">
      <c r="A16" s="76" t="s">
        <v>1659</v>
      </c>
      <c r="B16" s="77"/>
      <c r="C16" s="77"/>
      <c r="D16" s="77"/>
      <c r="E16" s="77"/>
      <c r="F16" s="835" t="s">
        <v>1506</v>
      </c>
      <c r="G16" s="835"/>
      <c r="H16" s="835"/>
      <c r="I16" s="835"/>
      <c r="J16" s="79"/>
      <c r="K16" s="77"/>
      <c r="L16" s="810"/>
      <c r="M16" s="810"/>
      <c r="N16" s="810"/>
      <c r="O16" s="810"/>
      <c r="P16" s="79"/>
      <c r="Q16" s="77"/>
      <c r="R16" s="77"/>
      <c r="S16" s="835" t="s">
        <v>1670</v>
      </c>
      <c r="T16" s="835"/>
      <c r="U16" s="840"/>
      <c r="AC16" s="256" t="s">
        <v>2432</v>
      </c>
      <c r="AD16" s="317" t="b">
        <f>s051.00140=s051.00120+s051.00121+s051.00122+s051.00123+s051.00124+s051.00126+s051.00127+s051.00128+s051.00129+s051.00130+s051.00131+s051.00132+s051.00133+s051.00134+s051.00135+s051.00136+s051.00137+s051.00138+s051.00139</f>
        <v>1</v>
      </c>
      <c r="AE16" s="7" t="s">
        <v>417</v>
      </c>
      <c r="AJ16" s="7" t="s">
        <v>543</v>
      </c>
    </row>
    <row r="17" spans="1:36" ht="11.25">
      <c r="A17" s="56" t="s">
        <v>2271</v>
      </c>
      <c r="B17" s="57"/>
      <c r="C17" s="57"/>
      <c r="D17" s="57"/>
      <c r="E17" s="57"/>
      <c r="F17" s="795" t="s">
        <v>2383</v>
      </c>
      <c r="G17" s="795"/>
      <c r="H17" s="795" t="s">
        <v>874</v>
      </c>
      <c r="I17" s="795"/>
      <c r="J17" s="58"/>
      <c r="K17" s="57"/>
      <c r="L17" s="795" t="s">
        <v>2383</v>
      </c>
      <c r="M17" s="795"/>
      <c r="N17" s="795" t="s">
        <v>874</v>
      </c>
      <c r="O17" s="795"/>
      <c r="P17" s="58"/>
      <c r="Q17" s="57"/>
      <c r="R17" s="795" t="s">
        <v>2383</v>
      </c>
      <c r="S17" s="795"/>
      <c r="T17" s="795" t="s">
        <v>874</v>
      </c>
      <c r="U17" s="841"/>
      <c r="V17" s="59"/>
      <c r="Y17" s="1"/>
      <c r="Z17" s="1"/>
      <c r="AA17" s="1"/>
      <c r="AC17" s="256" t="s">
        <v>2433</v>
      </c>
      <c r="AD17" s="317" t="b">
        <f>s051.00170=s051.00150+s051.00151+s051.00152+s051.00153+s051.00154+s051.00156+s051.00157+s051.00158+s051.00159+s051.00160+s051.00161+s051.00162+s051.00163+s051.00164+s051.00165+s051.00166+s051.00167+s051.00168+s051.00169</f>
        <v>1</v>
      </c>
      <c r="AE17" s="1" t="s">
        <v>417</v>
      </c>
      <c r="AJ17" s="1" t="s">
        <v>544</v>
      </c>
    </row>
    <row r="18" spans="1:36" ht="11.25">
      <c r="A18" s="223" t="s">
        <v>2014</v>
      </c>
      <c r="B18" s="251"/>
      <c r="C18" s="77"/>
      <c r="D18" s="77"/>
      <c r="E18" s="77"/>
      <c r="F18" s="60" t="s">
        <v>1500</v>
      </c>
      <c r="G18" s="362"/>
      <c r="H18" s="60" t="s">
        <v>929</v>
      </c>
      <c r="I18" s="792"/>
      <c r="J18" s="793"/>
      <c r="K18" s="794"/>
      <c r="L18" s="60" t="s">
        <v>1672</v>
      </c>
      <c r="M18" s="362"/>
      <c r="N18" s="60" t="s">
        <v>1675</v>
      </c>
      <c r="O18" s="792"/>
      <c r="P18" s="793"/>
      <c r="Q18" s="794"/>
      <c r="R18" s="60" t="s">
        <v>1604</v>
      </c>
      <c r="S18" s="362"/>
      <c r="T18" s="60" t="s">
        <v>1613</v>
      </c>
      <c r="U18" s="365"/>
      <c r="V18" s="1"/>
      <c r="Y18" s="1"/>
      <c r="Z18" s="1"/>
      <c r="AA18" s="1"/>
      <c r="AC18" s="255" t="s">
        <v>2434</v>
      </c>
      <c r="AD18" s="317" t="b">
        <f>s051.00709=s051.00700+s051.00701+s051.00702+s051.00703+s051.00704+s051.00705+s051.00706+s051.00707+s051.00708</f>
        <v>1</v>
      </c>
      <c r="AE18" s="1" t="s">
        <v>417</v>
      </c>
      <c r="AJ18" s="1" t="s">
        <v>545</v>
      </c>
    </row>
    <row r="19" spans="1:36" ht="11.25">
      <c r="A19" s="223" t="s">
        <v>912</v>
      </c>
      <c r="B19" s="77"/>
      <c r="C19" s="77"/>
      <c r="D19" s="77"/>
      <c r="E19" s="77"/>
      <c r="F19" s="60" t="s">
        <v>1501</v>
      </c>
      <c r="G19" s="362"/>
      <c r="H19" s="60" t="s">
        <v>1458</v>
      </c>
      <c r="I19" s="697"/>
      <c r="J19" s="698"/>
      <c r="K19" s="699"/>
      <c r="L19" s="60" t="s">
        <v>1471</v>
      </c>
      <c r="M19" s="362"/>
      <c r="N19" s="60" t="s">
        <v>729</v>
      </c>
      <c r="O19" s="697"/>
      <c r="P19" s="698"/>
      <c r="Q19" s="699"/>
      <c r="R19" s="60" t="s">
        <v>1679</v>
      </c>
      <c r="S19" s="362"/>
      <c r="T19" s="60" t="s">
        <v>1487</v>
      </c>
      <c r="U19" s="364"/>
      <c r="V19" s="1"/>
      <c r="Y19" s="1"/>
      <c r="Z19" s="1"/>
      <c r="AA19" s="1"/>
      <c r="AC19" s="255" t="s">
        <v>2435</v>
      </c>
      <c r="AD19" s="317" t="b">
        <f>s051.00719=s051.00710+s051.00711+s051.00712+s051.00713+s051.00714+s051.00715+s051.00716+s051.00717+s051.00718</f>
        <v>1</v>
      </c>
      <c r="AE19" s="1" t="s">
        <v>417</v>
      </c>
      <c r="AJ19" s="1" t="s">
        <v>546</v>
      </c>
    </row>
    <row r="20" spans="1:36" ht="11.25">
      <c r="A20" s="223" t="s">
        <v>2384</v>
      </c>
      <c r="B20" s="77"/>
      <c r="C20" s="77"/>
      <c r="D20" s="77"/>
      <c r="E20" s="77"/>
      <c r="F20" s="60" t="s">
        <v>1502</v>
      </c>
      <c r="G20" s="362"/>
      <c r="H20" s="60" t="s">
        <v>1459</v>
      </c>
      <c r="I20" s="697"/>
      <c r="J20" s="698"/>
      <c r="K20" s="699"/>
      <c r="L20" s="60" t="s">
        <v>1472</v>
      </c>
      <c r="M20" s="362"/>
      <c r="N20" s="60" t="s">
        <v>730</v>
      </c>
      <c r="O20" s="697"/>
      <c r="P20" s="698"/>
      <c r="Q20" s="699"/>
      <c r="R20" s="60" t="s">
        <v>1680</v>
      </c>
      <c r="S20" s="362"/>
      <c r="T20" s="60" t="s">
        <v>1488</v>
      </c>
      <c r="U20" s="364"/>
      <c r="V20" s="1"/>
      <c r="Y20" s="1"/>
      <c r="Z20" s="1"/>
      <c r="AA20" s="1"/>
      <c r="AC20" s="255" t="s">
        <v>2436</v>
      </c>
      <c r="AD20" s="317" t="b">
        <f>s051.00729=s051.00720+s051.00721+s051.00722+s051.00723+s051.00724+s051.00725+s051.00726+s051.00727+s051.00728</f>
        <v>1</v>
      </c>
      <c r="AE20" s="1" t="s">
        <v>417</v>
      </c>
      <c r="AJ20" s="1" t="s">
        <v>547</v>
      </c>
    </row>
    <row r="21" spans="1:36" ht="11.25">
      <c r="A21" s="223" t="s">
        <v>1005</v>
      </c>
      <c r="B21" s="77"/>
      <c r="C21" s="77"/>
      <c r="D21" s="77"/>
      <c r="E21" s="77"/>
      <c r="F21" s="60" t="s">
        <v>1503</v>
      </c>
      <c r="G21" s="362"/>
      <c r="H21" s="60" t="s">
        <v>1460</v>
      </c>
      <c r="I21" s="697"/>
      <c r="J21" s="698"/>
      <c r="K21" s="699"/>
      <c r="L21" s="60" t="s">
        <v>1473</v>
      </c>
      <c r="M21" s="362"/>
      <c r="N21" s="60" t="s">
        <v>731</v>
      </c>
      <c r="O21" s="697"/>
      <c r="P21" s="698"/>
      <c r="Q21" s="699"/>
      <c r="R21" s="60" t="s">
        <v>1006</v>
      </c>
      <c r="S21" s="362"/>
      <c r="T21" s="60" t="s">
        <v>1007</v>
      </c>
      <c r="U21" s="364"/>
      <c r="V21" s="1"/>
      <c r="Y21" s="1"/>
      <c r="Z21" s="1"/>
      <c r="AA21" s="1"/>
      <c r="AC21" s="255" t="s">
        <v>2386</v>
      </c>
      <c r="AD21" s="317" t="b">
        <f>s051.00730=s051.00710+s051.00720</f>
        <v>1</v>
      </c>
      <c r="AE21" s="1" t="s">
        <v>417</v>
      </c>
      <c r="AJ21" s="1" t="s">
        <v>548</v>
      </c>
    </row>
    <row r="22" spans="1:36" ht="11.25">
      <c r="A22" s="223" t="s">
        <v>461</v>
      </c>
      <c r="B22" s="77"/>
      <c r="C22" s="77"/>
      <c r="D22" s="77"/>
      <c r="E22" s="77"/>
      <c r="F22" s="60" t="s">
        <v>718</v>
      </c>
      <c r="G22" s="362"/>
      <c r="H22" s="60" t="s">
        <v>1461</v>
      </c>
      <c r="I22" s="697"/>
      <c r="J22" s="698"/>
      <c r="K22" s="699"/>
      <c r="L22" s="60" t="s">
        <v>1474</v>
      </c>
      <c r="M22" s="362"/>
      <c r="N22" s="60" t="s">
        <v>732</v>
      </c>
      <c r="O22" s="697"/>
      <c r="P22" s="698"/>
      <c r="Q22" s="699"/>
      <c r="R22" s="60" t="s">
        <v>1477</v>
      </c>
      <c r="S22" s="362"/>
      <c r="T22" s="60" t="s">
        <v>1489</v>
      </c>
      <c r="U22" s="364"/>
      <c r="V22" s="1"/>
      <c r="Y22" s="1"/>
      <c r="Z22" s="1"/>
      <c r="AA22" s="1"/>
      <c r="AC22" s="255" t="s">
        <v>2387</v>
      </c>
      <c r="AD22" s="317" t="b">
        <f>s051.00731=s051.00711+s051.00721</f>
        <v>1</v>
      </c>
      <c r="AE22" s="1" t="s">
        <v>417</v>
      </c>
      <c r="AJ22" s="1" t="s">
        <v>549</v>
      </c>
    </row>
    <row r="23" spans="1:36" ht="11.25">
      <c r="A23" s="223" t="s">
        <v>2440</v>
      </c>
      <c r="B23" s="77"/>
      <c r="C23" s="77"/>
      <c r="D23" s="77"/>
      <c r="E23" s="77"/>
      <c r="F23" s="60" t="s">
        <v>720</v>
      </c>
      <c r="G23" s="362"/>
      <c r="H23" s="60" t="s">
        <v>1462</v>
      </c>
      <c r="I23" s="697"/>
      <c r="J23" s="698"/>
      <c r="K23" s="699"/>
      <c r="L23" s="60" t="s">
        <v>1475</v>
      </c>
      <c r="M23" s="362"/>
      <c r="N23" s="60" t="s">
        <v>733</v>
      </c>
      <c r="O23" s="697"/>
      <c r="P23" s="698"/>
      <c r="Q23" s="699"/>
      <c r="R23" s="60" t="s">
        <v>1478</v>
      </c>
      <c r="S23" s="362"/>
      <c r="T23" s="60" t="s">
        <v>1490</v>
      </c>
      <c r="U23" s="364"/>
      <c r="V23" s="1"/>
      <c r="Y23" s="1"/>
      <c r="Z23" s="1"/>
      <c r="AA23" s="1"/>
      <c r="AC23" s="255" t="s">
        <v>2388</v>
      </c>
      <c r="AD23" s="317" t="b">
        <f>s051.00732=s051.00712+s051.00722</f>
        <v>1</v>
      </c>
      <c r="AE23" s="1" t="s">
        <v>417</v>
      </c>
      <c r="AJ23" s="1" t="s">
        <v>550</v>
      </c>
    </row>
    <row r="24" spans="1:36" ht="11.25">
      <c r="A24" s="223" t="s">
        <v>2441</v>
      </c>
      <c r="B24" s="77"/>
      <c r="C24" s="77"/>
      <c r="D24" s="77"/>
      <c r="E24" s="77"/>
      <c r="F24" s="60" t="s">
        <v>721</v>
      </c>
      <c r="G24" s="362"/>
      <c r="H24" s="60" t="s">
        <v>1463</v>
      </c>
      <c r="I24" s="697"/>
      <c r="J24" s="698"/>
      <c r="K24" s="699"/>
      <c r="L24" s="60" t="s">
        <v>1476</v>
      </c>
      <c r="M24" s="362"/>
      <c r="N24" s="60" t="s">
        <v>734</v>
      </c>
      <c r="O24" s="697"/>
      <c r="P24" s="698"/>
      <c r="Q24" s="699"/>
      <c r="R24" s="60" t="s">
        <v>1479</v>
      </c>
      <c r="S24" s="362"/>
      <c r="T24" s="60" t="s">
        <v>1491</v>
      </c>
      <c r="U24" s="364"/>
      <c r="V24" s="1"/>
      <c r="Y24" s="1"/>
      <c r="Z24" s="1"/>
      <c r="AA24" s="1"/>
      <c r="AC24" s="255" t="s">
        <v>2389</v>
      </c>
      <c r="AD24" s="317" t="b">
        <f>s051.00733=s051.00713+s051.00723</f>
        <v>1</v>
      </c>
      <c r="AE24" s="1" t="s">
        <v>417</v>
      </c>
      <c r="AJ24" s="1" t="s">
        <v>551</v>
      </c>
    </row>
    <row r="25" spans="1:36" ht="11.25">
      <c r="A25" s="223" t="s">
        <v>2442</v>
      </c>
      <c r="B25" s="77"/>
      <c r="C25" s="77"/>
      <c r="D25" s="77"/>
      <c r="E25" s="77"/>
      <c r="F25" s="60" t="s">
        <v>2016</v>
      </c>
      <c r="G25" s="362"/>
      <c r="H25" s="60" t="s">
        <v>2019</v>
      </c>
      <c r="I25" s="697"/>
      <c r="J25" s="698"/>
      <c r="K25" s="699"/>
      <c r="L25" s="60" t="s">
        <v>2023</v>
      </c>
      <c r="M25" s="362"/>
      <c r="N25" s="60" t="s">
        <v>2027</v>
      </c>
      <c r="O25" s="697"/>
      <c r="P25" s="698"/>
      <c r="Q25" s="699"/>
      <c r="R25" s="60" t="s">
        <v>735</v>
      </c>
      <c r="S25" s="362"/>
      <c r="T25" s="60" t="s">
        <v>737</v>
      </c>
      <c r="U25" s="364"/>
      <c r="V25" s="1"/>
      <c r="Y25" s="1"/>
      <c r="Z25" s="1"/>
      <c r="AA25" s="1"/>
      <c r="AC25" s="255" t="s">
        <v>2390</v>
      </c>
      <c r="AD25" s="317" t="b">
        <f>s051.00734=s051.00714+s051.00724</f>
        <v>1</v>
      </c>
      <c r="AE25" s="1" t="s">
        <v>417</v>
      </c>
      <c r="AJ25" s="1" t="s">
        <v>552</v>
      </c>
    </row>
    <row r="26" spans="1:36" ht="11.25">
      <c r="A26" s="223" t="s">
        <v>2015</v>
      </c>
      <c r="B26" s="77"/>
      <c r="C26" s="77"/>
      <c r="D26" s="77"/>
      <c r="E26" s="77"/>
      <c r="F26" s="60" t="s">
        <v>927</v>
      </c>
      <c r="G26" s="362"/>
      <c r="H26" s="60" t="s">
        <v>2020</v>
      </c>
      <c r="I26" s="697"/>
      <c r="J26" s="698"/>
      <c r="K26" s="699"/>
      <c r="L26" s="60" t="s">
        <v>2024</v>
      </c>
      <c r="M26" s="362"/>
      <c r="N26" s="60" t="s">
        <v>2028</v>
      </c>
      <c r="O26" s="697"/>
      <c r="P26" s="698"/>
      <c r="Q26" s="699"/>
      <c r="R26" s="60" t="s">
        <v>2029</v>
      </c>
      <c r="S26" s="362"/>
      <c r="T26" s="60" t="s">
        <v>2031</v>
      </c>
      <c r="U26" s="364"/>
      <c r="V26" s="1"/>
      <c r="Y26" s="1"/>
      <c r="Z26" s="1"/>
      <c r="AA26" s="1"/>
      <c r="AC26" s="255" t="s">
        <v>2391</v>
      </c>
      <c r="AD26" s="317" t="b">
        <f>s051.00735=s051.00715+s051.00725</f>
        <v>1</v>
      </c>
      <c r="AE26" s="1" t="s">
        <v>417</v>
      </c>
      <c r="AJ26" s="1" t="s">
        <v>553</v>
      </c>
    </row>
    <row r="27" spans="1:36" ht="11.25">
      <c r="A27" s="223" t="s">
        <v>1661</v>
      </c>
      <c r="B27" s="77"/>
      <c r="C27" s="77"/>
      <c r="D27" s="77"/>
      <c r="E27" s="77"/>
      <c r="F27" s="60" t="s">
        <v>1451</v>
      </c>
      <c r="G27" s="362"/>
      <c r="H27" s="60" t="s">
        <v>930</v>
      </c>
      <c r="I27" s="697"/>
      <c r="J27" s="698"/>
      <c r="K27" s="699"/>
      <c r="L27" s="60" t="s">
        <v>1673</v>
      </c>
      <c r="M27" s="362"/>
      <c r="N27" s="60" t="s">
        <v>931</v>
      </c>
      <c r="O27" s="697"/>
      <c r="P27" s="698"/>
      <c r="Q27" s="699"/>
      <c r="R27" s="60" t="s">
        <v>1605</v>
      </c>
      <c r="S27" s="362"/>
      <c r="T27" s="60" t="s">
        <v>1614</v>
      </c>
      <c r="U27" s="364"/>
      <c r="V27" s="1"/>
      <c r="Y27" s="1"/>
      <c r="Z27" s="1"/>
      <c r="AA27" s="1"/>
      <c r="AC27" s="255" t="s">
        <v>2392</v>
      </c>
      <c r="AD27" s="317" t="b">
        <f>s051.00736=s051.00716+s051.00726</f>
        <v>1</v>
      </c>
      <c r="AE27" s="1" t="s">
        <v>417</v>
      </c>
      <c r="AJ27" s="1" t="s">
        <v>1241</v>
      </c>
    </row>
    <row r="28" spans="1:36" ht="11.25">
      <c r="A28" s="223" t="s">
        <v>1662</v>
      </c>
      <c r="B28" s="77"/>
      <c r="C28" s="77"/>
      <c r="D28" s="77"/>
      <c r="E28" s="77"/>
      <c r="F28" s="60" t="s">
        <v>1452</v>
      </c>
      <c r="G28" s="362"/>
      <c r="H28" s="60" t="s">
        <v>1464</v>
      </c>
      <c r="I28" s="697"/>
      <c r="J28" s="698"/>
      <c r="K28" s="699"/>
      <c r="L28" s="60" t="s">
        <v>722</v>
      </c>
      <c r="M28" s="362"/>
      <c r="N28" s="60" t="s">
        <v>1734</v>
      </c>
      <c r="O28" s="697"/>
      <c r="P28" s="698"/>
      <c r="Q28" s="699"/>
      <c r="R28" s="60" t="s">
        <v>1480</v>
      </c>
      <c r="S28" s="362"/>
      <c r="T28" s="60" t="s">
        <v>1492</v>
      </c>
      <c r="U28" s="364"/>
      <c r="V28" s="1"/>
      <c r="Y28" s="1"/>
      <c r="Z28" s="1"/>
      <c r="AA28" s="1"/>
      <c r="AC28" s="255" t="s">
        <v>2393</v>
      </c>
      <c r="AD28" s="317" t="b">
        <f>s051.00737=s051.00717+s051.00727</f>
        <v>1</v>
      </c>
      <c r="AE28" s="1" t="s">
        <v>417</v>
      </c>
      <c r="AJ28" s="1" t="s">
        <v>1242</v>
      </c>
    </row>
    <row r="29" spans="1:36" ht="11.25">
      <c r="A29" s="77" t="s">
        <v>462</v>
      </c>
      <c r="B29" s="77"/>
      <c r="C29" s="77"/>
      <c r="D29" s="77"/>
      <c r="E29" s="77"/>
      <c r="F29" s="60" t="s">
        <v>1453</v>
      </c>
      <c r="G29" s="362"/>
      <c r="H29" s="60" t="s">
        <v>1465</v>
      </c>
      <c r="I29" s="697"/>
      <c r="J29" s="698"/>
      <c r="K29" s="699"/>
      <c r="L29" s="60" t="s">
        <v>723</v>
      </c>
      <c r="M29" s="362"/>
      <c r="N29" s="60" t="s">
        <v>1735</v>
      </c>
      <c r="O29" s="697"/>
      <c r="P29" s="698"/>
      <c r="Q29" s="699"/>
      <c r="R29" s="60" t="s">
        <v>1481</v>
      </c>
      <c r="S29" s="362"/>
      <c r="T29" s="60" t="s">
        <v>1493</v>
      </c>
      <c r="U29" s="364"/>
      <c r="V29" s="1"/>
      <c r="Y29" s="1"/>
      <c r="Z29" s="1"/>
      <c r="AA29" s="1"/>
      <c r="AC29" s="255" t="s">
        <v>2394</v>
      </c>
      <c r="AD29" s="317" t="b">
        <f>s051.00738=s051.00718+s051.00728</f>
        <v>1</v>
      </c>
      <c r="AE29" s="1" t="s">
        <v>417</v>
      </c>
      <c r="AJ29" s="1" t="s">
        <v>1243</v>
      </c>
    </row>
    <row r="30" spans="1:36" ht="11.25">
      <c r="A30" s="77" t="s">
        <v>1663</v>
      </c>
      <c r="B30" s="77"/>
      <c r="C30" s="77"/>
      <c r="D30" s="77"/>
      <c r="E30" s="77"/>
      <c r="F30" s="60" t="s">
        <v>1454</v>
      </c>
      <c r="G30" s="362">
        <v>43326</v>
      </c>
      <c r="H30" s="60" t="s">
        <v>1466</v>
      </c>
      <c r="I30" s="697">
        <v>435920000</v>
      </c>
      <c r="J30" s="698"/>
      <c r="K30" s="699"/>
      <c r="L30" s="60" t="s">
        <v>724</v>
      </c>
      <c r="M30" s="362">
        <v>48670</v>
      </c>
      <c r="N30" s="60" t="s">
        <v>1736</v>
      </c>
      <c r="O30" s="697">
        <v>526205000</v>
      </c>
      <c r="P30" s="698"/>
      <c r="Q30" s="699"/>
      <c r="R30" s="60" t="s">
        <v>1482</v>
      </c>
      <c r="S30" s="362">
        <v>127297</v>
      </c>
      <c r="T30" s="60" t="s">
        <v>1494</v>
      </c>
      <c r="U30" s="364">
        <v>1000000000</v>
      </c>
      <c r="V30" s="1"/>
      <c r="Y30" s="1"/>
      <c r="Z30" s="1"/>
      <c r="AA30" s="1"/>
      <c r="AC30" s="255" t="s">
        <v>2419</v>
      </c>
      <c r="AD30" s="317" t="b">
        <f>s051.00739=s051.00730+s051.00731+s051.00732+s051.00733+s051.00734+s051.00735+s051.00736+s051.00737+s051.00738</f>
        <v>1</v>
      </c>
      <c r="AE30" s="1" t="s">
        <v>417</v>
      </c>
      <c r="AJ30" s="1" t="s">
        <v>1244</v>
      </c>
    </row>
    <row r="31" spans="1:36" ht="11.25">
      <c r="A31" s="77" t="s">
        <v>83</v>
      </c>
      <c r="B31" s="77"/>
      <c r="C31" s="77"/>
      <c r="D31" s="77"/>
      <c r="E31" s="77"/>
      <c r="F31" s="60" t="s">
        <v>1455</v>
      </c>
      <c r="G31" s="362"/>
      <c r="H31" s="60" t="s">
        <v>1467</v>
      </c>
      <c r="I31" s="697"/>
      <c r="J31" s="698"/>
      <c r="K31" s="699"/>
      <c r="L31" s="60" t="s">
        <v>725</v>
      </c>
      <c r="M31" s="362"/>
      <c r="N31" s="60" t="s">
        <v>1737</v>
      </c>
      <c r="O31" s="697"/>
      <c r="P31" s="698"/>
      <c r="Q31" s="699"/>
      <c r="R31" s="60" t="s">
        <v>1483</v>
      </c>
      <c r="S31" s="362"/>
      <c r="T31" s="60" t="s">
        <v>1495</v>
      </c>
      <c r="U31" s="364"/>
      <c r="V31" s="1"/>
      <c r="Y31" s="1"/>
      <c r="Z31" s="1"/>
      <c r="AA31" s="1"/>
      <c r="AC31" s="255" t="s">
        <v>2420</v>
      </c>
      <c r="AD31" s="317" t="b">
        <f>s051.00749=s051.00740+s051.00741+s051.00742+s051.00743+s051.00744+s051.00745+s051.00746+s051.00747+s051.00748</f>
        <v>1</v>
      </c>
      <c r="AE31" s="1" t="s">
        <v>417</v>
      </c>
      <c r="AJ31" s="1" t="s">
        <v>1245</v>
      </c>
    </row>
    <row r="32" spans="1:36" ht="11.25">
      <c r="A32" s="77" t="s">
        <v>84</v>
      </c>
      <c r="B32" s="77"/>
      <c r="C32" s="77"/>
      <c r="D32" s="77"/>
      <c r="E32" s="77"/>
      <c r="F32" s="60" t="s">
        <v>1456</v>
      </c>
      <c r="G32" s="362"/>
      <c r="H32" s="60" t="s">
        <v>1468</v>
      </c>
      <c r="I32" s="697"/>
      <c r="J32" s="698"/>
      <c r="K32" s="699"/>
      <c r="L32" s="60" t="s">
        <v>726</v>
      </c>
      <c r="M32" s="362"/>
      <c r="N32" s="60" t="s">
        <v>1738</v>
      </c>
      <c r="O32" s="697"/>
      <c r="P32" s="698"/>
      <c r="Q32" s="699"/>
      <c r="R32" s="60" t="s">
        <v>1484</v>
      </c>
      <c r="S32" s="362"/>
      <c r="T32" s="60" t="s">
        <v>1496</v>
      </c>
      <c r="U32" s="364"/>
      <c r="V32" s="1"/>
      <c r="Y32" s="1"/>
      <c r="Z32" s="1"/>
      <c r="AA32" s="1"/>
      <c r="AC32" s="255" t="s">
        <v>2421</v>
      </c>
      <c r="AD32" s="317" t="b">
        <f>s051.00759=s051.00750+s051.00751+s051.00752+s051.00753+s051.00754+s051.00755+s051.00756+s051.00757+s051.00758</f>
        <v>1</v>
      </c>
      <c r="AE32" s="1" t="s">
        <v>417</v>
      </c>
      <c r="AJ32" s="1" t="s">
        <v>1246</v>
      </c>
    </row>
    <row r="33" spans="1:36" ht="11.25">
      <c r="A33" s="77" t="s">
        <v>463</v>
      </c>
      <c r="B33" s="77"/>
      <c r="C33" s="77"/>
      <c r="D33" s="77"/>
      <c r="E33" s="77"/>
      <c r="F33" s="60" t="s">
        <v>1457</v>
      </c>
      <c r="G33" s="362"/>
      <c r="H33" s="60" t="s">
        <v>1469</v>
      </c>
      <c r="I33" s="697"/>
      <c r="J33" s="698"/>
      <c r="K33" s="699"/>
      <c r="L33" s="60" t="s">
        <v>727</v>
      </c>
      <c r="M33" s="362"/>
      <c r="N33" s="60" t="s">
        <v>1739</v>
      </c>
      <c r="O33" s="697"/>
      <c r="P33" s="698"/>
      <c r="Q33" s="699"/>
      <c r="R33" s="60" t="s">
        <v>1485</v>
      </c>
      <c r="S33" s="362"/>
      <c r="T33" s="60" t="s">
        <v>1497</v>
      </c>
      <c r="U33" s="364"/>
      <c r="V33" s="1"/>
      <c r="Y33" s="1"/>
      <c r="Z33" s="1"/>
      <c r="AA33" s="1"/>
      <c r="AC33" s="255" t="s">
        <v>2422</v>
      </c>
      <c r="AD33" s="317" t="b">
        <f>s051.00779=s051.00770+s051.00771+s051.00772+s051.00773+s051.00774+s051.00775+s051.00776+s051.00777+s051.00778</f>
        <v>1</v>
      </c>
      <c r="AE33" s="1" t="s">
        <v>417</v>
      </c>
      <c r="AJ33" s="1" t="s">
        <v>1247</v>
      </c>
    </row>
    <row r="34" spans="1:36" ht="11.25">
      <c r="A34" s="77" t="s">
        <v>85</v>
      </c>
      <c r="B34" s="77"/>
      <c r="C34" s="77"/>
      <c r="D34" s="77"/>
      <c r="E34" s="77"/>
      <c r="F34" s="60" t="s">
        <v>2017</v>
      </c>
      <c r="G34" s="362"/>
      <c r="H34" s="60" t="s">
        <v>1470</v>
      </c>
      <c r="I34" s="697"/>
      <c r="J34" s="698"/>
      <c r="K34" s="699"/>
      <c r="L34" s="60" t="s">
        <v>728</v>
      </c>
      <c r="M34" s="362"/>
      <c r="N34" s="60" t="s">
        <v>1740</v>
      </c>
      <c r="O34" s="697"/>
      <c r="P34" s="698"/>
      <c r="Q34" s="699"/>
      <c r="R34" s="60" t="s">
        <v>1486</v>
      </c>
      <c r="S34" s="362"/>
      <c r="T34" s="60" t="s">
        <v>1498</v>
      </c>
      <c r="U34" s="364"/>
      <c r="V34" s="1"/>
      <c r="Y34" s="1"/>
      <c r="Z34" s="1"/>
      <c r="AA34" s="1"/>
      <c r="AC34" s="255" t="s">
        <v>2423</v>
      </c>
      <c r="AD34" s="317" t="b">
        <f>s051.00789=s051.00780+s051.00781+s051.00782+s051.00783+s051.00784+s051.00785+s051.00786+s051.00787+s051.00788</f>
        <v>1</v>
      </c>
      <c r="AE34" s="1" t="s">
        <v>417</v>
      </c>
      <c r="AJ34" s="1" t="s">
        <v>1248</v>
      </c>
    </row>
    <row r="35" spans="1:36" ht="11.25">
      <c r="A35" s="77" t="s">
        <v>86</v>
      </c>
      <c r="B35" s="77"/>
      <c r="C35" s="77"/>
      <c r="D35" s="77"/>
      <c r="E35" s="77"/>
      <c r="F35" s="60" t="s">
        <v>2018</v>
      </c>
      <c r="G35" s="362"/>
      <c r="H35" s="60" t="s">
        <v>2021</v>
      </c>
      <c r="I35" s="697"/>
      <c r="J35" s="698"/>
      <c r="K35" s="699"/>
      <c r="L35" s="60" t="s">
        <v>2025</v>
      </c>
      <c r="M35" s="362"/>
      <c r="N35" s="60" t="s">
        <v>1741</v>
      </c>
      <c r="O35" s="697"/>
      <c r="P35" s="698"/>
      <c r="Q35" s="699"/>
      <c r="R35" s="60" t="s">
        <v>736</v>
      </c>
      <c r="S35" s="362"/>
      <c r="T35" s="60" t="s">
        <v>738</v>
      </c>
      <c r="U35" s="364"/>
      <c r="V35" s="1"/>
      <c r="Y35" s="1"/>
      <c r="Z35" s="1"/>
      <c r="AA35" s="1"/>
      <c r="AC35" s="255" t="s">
        <v>2424</v>
      </c>
      <c r="AD35" s="317" t="b">
        <f>s051.00799=s051.00790+s051.00791+s051.00792+s051.00793+s051.00794+s051.00795+s051.00796+s051.00797+s051.00798</f>
        <v>1</v>
      </c>
      <c r="AE35" s="1" t="s">
        <v>417</v>
      </c>
      <c r="AJ35" s="1" t="s">
        <v>1750</v>
      </c>
    </row>
    <row r="36" spans="1:36" ht="11.25">
      <c r="A36" s="77" t="s">
        <v>464</v>
      </c>
      <c r="B36" s="77"/>
      <c r="C36" s="77"/>
      <c r="D36" s="77"/>
      <c r="E36" s="77"/>
      <c r="F36" s="60" t="s">
        <v>928</v>
      </c>
      <c r="G36" s="362"/>
      <c r="H36" s="60" t="s">
        <v>2022</v>
      </c>
      <c r="I36" s="694"/>
      <c r="J36" s="695"/>
      <c r="K36" s="696"/>
      <c r="L36" s="60" t="s">
        <v>2026</v>
      </c>
      <c r="M36" s="362"/>
      <c r="N36" s="60" t="s">
        <v>624</v>
      </c>
      <c r="O36" s="694"/>
      <c r="P36" s="695"/>
      <c r="Q36" s="696"/>
      <c r="R36" s="60" t="s">
        <v>2030</v>
      </c>
      <c r="S36" s="362"/>
      <c r="T36" s="60" t="s">
        <v>2032</v>
      </c>
      <c r="U36" s="364"/>
      <c r="V36" s="1"/>
      <c r="Y36" s="1"/>
      <c r="Z36" s="1"/>
      <c r="AA36" s="1"/>
      <c r="AC36" s="255" t="s">
        <v>2425</v>
      </c>
      <c r="AD36" s="317" t="b">
        <f>s051.00800=s051.00780+s051.00790</f>
        <v>1</v>
      </c>
      <c r="AE36" s="1" t="s">
        <v>417</v>
      </c>
      <c r="AJ36" s="1" t="s">
        <v>1751</v>
      </c>
    </row>
    <row r="37" spans="1:36" ht="11.25">
      <c r="A37" s="70" t="s">
        <v>48</v>
      </c>
      <c r="B37" s="70"/>
      <c r="C37" s="70"/>
      <c r="D37" s="70"/>
      <c r="E37" s="70"/>
      <c r="F37" s="66" t="s">
        <v>1678</v>
      </c>
      <c r="G37" s="326">
        <v>43326</v>
      </c>
      <c r="H37" s="66" t="s">
        <v>1671</v>
      </c>
      <c r="I37" s="700">
        <v>435920000</v>
      </c>
      <c r="J37" s="701"/>
      <c r="K37" s="702"/>
      <c r="L37" s="66" t="s">
        <v>1674</v>
      </c>
      <c r="M37" s="327">
        <v>48670</v>
      </c>
      <c r="N37" s="66" t="s">
        <v>1603</v>
      </c>
      <c r="O37" s="700">
        <v>526205000</v>
      </c>
      <c r="P37" s="701"/>
      <c r="Q37" s="702"/>
      <c r="R37" s="66" t="s">
        <v>1612</v>
      </c>
      <c r="S37" s="326">
        <v>127297</v>
      </c>
      <c r="T37" s="66" t="s">
        <v>1676</v>
      </c>
      <c r="U37" s="366">
        <v>1000000000</v>
      </c>
      <c r="V37" s="72"/>
      <c r="Y37" s="1"/>
      <c r="Z37" s="1"/>
      <c r="AA37" s="1"/>
      <c r="AC37" s="255" t="s">
        <v>2426</v>
      </c>
      <c r="AD37" s="317" t="b">
        <f>s051.00801=s051.00781+s051.00791</f>
        <v>1</v>
      </c>
      <c r="AE37" s="1" t="s">
        <v>417</v>
      </c>
      <c r="AJ37" s="1" t="s">
        <v>1752</v>
      </c>
    </row>
    <row r="38" spans="1:36" ht="11.25">
      <c r="A38" s="555" t="s">
        <v>1508</v>
      </c>
      <c r="B38" s="267"/>
      <c r="C38" s="267"/>
      <c r="D38" s="267"/>
      <c r="E38" s="267"/>
      <c r="F38" s="267"/>
      <c r="G38" s="267"/>
      <c r="H38" s="267"/>
      <c r="I38" s="267"/>
      <c r="J38" s="267"/>
      <c r="K38" s="267"/>
      <c r="L38" s="399"/>
      <c r="M38" s="267"/>
      <c r="N38" s="399"/>
      <c r="O38" s="267"/>
      <c r="P38" s="267"/>
      <c r="Q38" s="267"/>
      <c r="R38" s="399"/>
      <c r="S38" s="267"/>
      <c r="T38" s="399"/>
      <c r="U38" s="552"/>
      <c r="V38" s="1"/>
      <c r="W38" s="1"/>
      <c r="X38" s="67"/>
      <c r="Y38" s="1"/>
      <c r="Z38" s="67"/>
      <c r="AA38" s="1"/>
      <c r="AC38" s="561" t="s">
        <v>2427</v>
      </c>
      <c r="AD38" s="562" t="b">
        <f>s051.00802=s051.00782+s051.00792</f>
        <v>1</v>
      </c>
      <c r="AE38" s="1" t="s">
        <v>417</v>
      </c>
      <c r="AJ38" s="1" t="s">
        <v>1753</v>
      </c>
    </row>
    <row r="39" spans="1:36" ht="11.25">
      <c r="A39" s="563"/>
      <c r="B39" s="270"/>
      <c r="C39" s="270"/>
      <c r="D39" s="270"/>
      <c r="E39" s="270"/>
      <c r="F39" s="270"/>
      <c r="G39" s="270"/>
      <c r="H39" s="270"/>
      <c r="I39" s="270"/>
      <c r="J39" s="270"/>
      <c r="K39" s="270"/>
      <c r="L39" s="402"/>
      <c r="M39" s="270"/>
      <c r="N39" s="402"/>
      <c r="O39" s="270"/>
      <c r="P39" s="270"/>
      <c r="Q39" s="270"/>
      <c r="R39" s="402"/>
      <c r="S39" s="270"/>
      <c r="T39" s="402"/>
      <c r="U39" s="271"/>
      <c r="V39" s="1"/>
      <c r="W39" s="1"/>
      <c r="X39" s="67"/>
      <c r="Y39" s="1"/>
      <c r="Z39" s="67"/>
      <c r="AA39" s="1"/>
      <c r="AC39" s="561" t="s">
        <v>2428</v>
      </c>
      <c r="AD39" s="562" t="b">
        <f>s051.00803=s051.00783+s051.00793</f>
        <v>1</v>
      </c>
      <c r="AE39" s="1" t="s">
        <v>417</v>
      </c>
      <c r="AJ39" s="1" t="s">
        <v>1754</v>
      </c>
    </row>
    <row r="40" spans="1:36" ht="11.25">
      <c r="A40" s="68" t="s">
        <v>528</v>
      </c>
      <c r="B40" s="536"/>
      <c r="C40" s="158"/>
      <c r="D40" s="158"/>
      <c r="E40" s="158"/>
      <c r="F40" s="158" t="s">
        <v>943</v>
      </c>
      <c r="G40" s="158"/>
      <c r="H40" s="158"/>
      <c r="I40" s="158"/>
      <c r="J40" s="158"/>
      <c r="K40" s="158"/>
      <c r="L40" s="158"/>
      <c r="M40" s="158"/>
      <c r="N40" s="158"/>
      <c r="O40" s="157"/>
      <c r="P40" s="157"/>
      <c r="Q40" s="157"/>
      <c r="R40" s="157"/>
      <c r="S40" s="157"/>
      <c r="T40" s="157"/>
      <c r="U40" s="157"/>
      <c r="V40" s="157"/>
      <c r="W40" s="157"/>
      <c r="X40" s="157"/>
      <c r="Y40" s="157"/>
      <c r="Z40" s="157"/>
      <c r="AA40" s="163"/>
      <c r="AC40" s="255" t="s">
        <v>2429</v>
      </c>
      <c r="AD40" s="317" t="b">
        <f>s051.00804=s051.00784+s051.00794</f>
        <v>1</v>
      </c>
      <c r="AE40" s="1" t="s">
        <v>417</v>
      </c>
      <c r="AJ40" s="1" t="s">
        <v>1755</v>
      </c>
    </row>
    <row r="41" spans="1:36" ht="11.25">
      <c r="A41" s="817"/>
      <c r="B41" s="818"/>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9"/>
      <c r="AC41" s="255" t="s">
        <v>1038</v>
      </c>
      <c r="AD41" s="317" t="b">
        <f>s051.00805=s051.00785+s051.00795</f>
        <v>1</v>
      </c>
      <c r="AE41" s="1" t="s">
        <v>417</v>
      </c>
      <c r="AJ41" s="1" t="s">
        <v>1756</v>
      </c>
    </row>
    <row r="42" spans="1:36" ht="11.25">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2"/>
      <c r="AC42" s="255" t="s">
        <v>1039</v>
      </c>
      <c r="AD42" s="317" t="b">
        <f>s051.00806=s051.00786+s051.00796</f>
        <v>1</v>
      </c>
      <c r="AE42" s="1" t="s">
        <v>417</v>
      </c>
      <c r="AJ42" s="1" t="s">
        <v>1757</v>
      </c>
    </row>
    <row r="43" spans="1:36" ht="11.25">
      <c r="A43" s="820"/>
      <c r="B43" s="821"/>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2"/>
      <c r="AC43" s="255" t="s">
        <v>1040</v>
      </c>
      <c r="AD43" s="317" t="b">
        <f>s051.00807=s051.00787+s051.00797</f>
        <v>1</v>
      </c>
      <c r="AE43" s="1" t="s">
        <v>417</v>
      </c>
      <c r="AJ43" s="1" t="s">
        <v>1758</v>
      </c>
    </row>
    <row r="44" spans="1:36" ht="11.25">
      <c r="A44" s="820"/>
      <c r="B44" s="821"/>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2"/>
      <c r="AC44" s="255" t="s">
        <v>1041</v>
      </c>
      <c r="AD44" s="317" t="b">
        <f>s051.00808=s051.00788+s051.00798</f>
        <v>1</v>
      </c>
      <c r="AE44" s="1" t="s">
        <v>417</v>
      </c>
      <c r="AJ44" s="1" t="s">
        <v>1759</v>
      </c>
    </row>
    <row r="45" spans="1:36" ht="11.25">
      <c r="A45" s="820"/>
      <c r="B45" s="821"/>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2"/>
      <c r="AC45" s="255" t="s">
        <v>1042</v>
      </c>
      <c r="AD45" s="317" t="b">
        <f>s051.00819=s051.00810+s051.00811+s051.00812+s051.00813+s051.00814+s051.00815+s051.00816+s051.00817+s051.00818</f>
        <v>1</v>
      </c>
      <c r="AE45" s="1" t="s">
        <v>417</v>
      </c>
      <c r="AJ45" s="1" t="s">
        <v>1760</v>
      </c>
    </row>
    <row r="46" spans="1:36" ht="11.25">
      <c r="A46" s="820"/>
      <c r="B46" s="821"/>
      <c r="C46" s="821"/>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2"/>
      <c r="AC46" s="255" t="s">
        <v>1043</v>
      </c>
      <c r="AD46" s="317" t="b">
        <f>s051.00820=s051.00800+s051.00810</f>
        <v>1</v>
      </c>
      <c r="AE46" s="1" t="s">
        <v>417</v>
      </c>
      <c r="AJ46" s="1" t="s">
        <v>1761</v>
      </c>
    </row>
    <row r="47" spans="1:36" ht="11.25">
      <c r="A47" s="823"/>
      <c r="B47" s="824"/>
      <c r="C47" s="824"/>
      <c r="D47" s="824"/>
      <c r="E47" s="824"/>
      <c r="F47" s="824"/>
      <c r="G47" s="824"/>
      <c r="H47" s="824"/>
      <c r="I47" s="824"/>
      <c r="J47" s="824"/>
      <c r="K47" s="824"/>
      <c r="L47" s="824"/>
      <c r="M47" s="824"/>
      <c r="N47" s="824"/>
      <c r="O47" s="824"/>
      <c r="P47" s="824"/>
      <c r="Q47" s="824"/>
      <c r="R47" s="824"/>
      <c r="S47" s="824"/>
      <c r="T47" s="824"/>
      <c r="U47" s="824"/>
      <c r="V47" s="824"/>
      <c r="W47" s="824"/>
      <c r="X47" s="824"/>
      <c r="Y47" s="824"/>
      <c r="Z47" s="824"/>
      <c r="AA47" s="825"/>
      <c r="AC47" s="255" t="s">
        <v>1044</v>
      </c>
      <c r="AD47" s="317" t="b">
        <f>s051.00821=s051.00801+s051.00811</f>
        <v>1</v>
      </c>
      <c r="AE47" s="1" t="s">
        <v>417</v>
      </c>
      <c r="AJ47" s="1" t="s">
        <v>1762</v>
      </c>
    </row>
    <row r="48" spans="1:36" ht="11.25">
      <c r="A48" s="564"/>
      <c r="B48" s="565"/>
      <c r="C48" s="565"/>
      <c r="D48" s="565"/>
      <c r="E48" s="565"/>
      <c r="F48" s="565"/>
      <c r="G48" s="565"/>
      <c r="H48" s="565"/>
      <c r="I48" s="565"/>
      <c r="J48" s="565"/>
      <c r="K48" s="565"/>
      <c r="L48" s="565"/>
      <c r="M48" s="565"/>
      <c r="N48" s="565"/>
      <c r="O48" s="267"/>
      <c r="P48" s="267"/>
      <c r="Q48" s="267"/>
      <c r="R48" s="267"/>
      <c r="S48" s="267"/>
      <c r="T48" s="267"/>
      <c r="U48" s="267"/>
      <c r="V48" s="267"/>
      <c r="W48" s="267"/>
      <c r="X48" s="267"/>
      <c r="Y48" s="267"/>
      <c r="Z48" s="267"/>
      <c r="AA48" s="552"/>
      <c r="AC48" s="561" t="s">
        <v>1045</v>
      </c>
      <c r="AD48" s="562" t="b">
        <f>s051.00822=s051.00802+s051.00812</f>
        <v>1</v>
      </c>
      <c r="AE48" s="1" t="s">
        <v>417</v>
      </c>
      <c r="AJ48" s="1" t="s">
        <v>1763</v>
      </c>
    </row>
    <row r="49" spans="1:36" ht="11.25">
      <c r="A49" s="553"/>
      <c r="B49" s="535"/>
      <c r="C49" s="535"/>
      <c r="D49" s="535"/>
      <c r="E49" s="535"/>
      <c r="F49" s="535"/>
      <c r="G49" s="535"/>
      <c r="H49" s="535"/>
      <c r="I49" s="535"/>
      <c r="J49" s="535"/>
      <c r="K49" s="535"/>
      <c r="L49" s="401"/>
      <c r="M49" s="535"/>
      <c r="N49" s="401"/>
      <c r="O49" s="218"/>
      <c r="P49" s="218"/>
      <c r="Q49" s="218"/>
      <c r="R49" s="218"/>
      <c r="S49" s="218"/>
      <c r="T49" s="218"/>
      <c r="U49" s="218"/>
      <c r="V49" s="218"/>
      <c r="W49" s="218"/>
      <c r="X49" s="218"/>
      <c r="Y49" s="218"/>
      <c r="Z49" s="218"/>
      <c r="AA49" s="219"/>
      <c r="AC49" s="561" t="s">
        <v>1046</v>
      </c>
      <c r="AD49" s="562" t="b">
        <f>s051.00823=s051.00803+s051.00813</f>
        <v>1</v>
      </c>
      <c r="AE49" s="1" t="s">
        <v>417</v>
      </c>
      <c r="AJ49" s="1" t="s">
        <v>1764</v>
      </c>
    </row>
    <row r="50" spans="1:36" ht="11.25">
      <c r="A50" s="553"/>
      <c r="B50" s="535"/>
      <c r="C50" s="535"/>
      <c r="D50" s="535"/>
      <c r="E50" s="535"/>
      <c r="F50" s="535"/>
      <c r="G50" s="535"/>
      <c r="H50" s="535"/>
      <c r="I50" s="535"/>
      <c r="J50" s="535"/>
      <c r="K50" s="535"/>
      <c r="L50" s="401"/>
      <c r="M50" s="535"/>
      <c r="N50" s="401"/>
      <c r="O50" s="218"/>
      <c r="P50" s="218"/>
      <c r="Q50" s="218"/>
      <c r="R50" s="218"/>
      <c r="S50" s="218"/>
      <c r="T50" s="218"/>
      <c r="U50" s="218"/>
      <c r="V50" s="218"/>
      <c r="W50" s="218"/>
      <c r="X50" s="218"/>
      <c r="Y50" s="218"/>
      <c r="Z50" s="218"/>
      <c r="AA50" s="219"/>
      <c r="AC50" s="561" t="s">
        <v>1047</v>
      </c>
      <c r="AD50" s="562" t="b">
        <f>s051.00824=s051.00804+s051.00814</f>
        <v>1</v>
      </c>
      <c r="AE50" s="1" t="s">
        <v>417</v>
      </c>
      <c r="AJ50" s="1" t="s">
        <v>1765</v>
      </c>
    </row>
    <row r="51" spans="1:36" ht="11.25">
      <c r="A51" s="557"/>
      <c r="B51" s="566"/>
      <c r="C51" s="566"/>
      <c r="D51" s="566"/>
      <c r="E51" s="566"/>
      <c r="F51" s="566"/>
      <c r="G51" s="566"/>
      <c r="H51" s="566"/>
      <c r="I51" s="566"/>
      <c r="J51" s="566"/>
      <c r="K51" s="566"/>
      <c r="L51" s="402"/>
      <c r="M51" s="566"/>
      <c r="N51" s="402"/>
      <c r="O51" s="270"/>
      <c r="P51" s="270"/>
      <c r="Q51" s="270"/>
      <c r="R51" s="270"/>
      <c r="S51" s="270"/>
      <c r="T51" s="270"/>
      <c r="U51" s="270"/>
      <c r="V51" s="270"/>
      <c r="W51" s="270"/>
      <c r="X51" s="270"/>
      <c r="Y51" s="270"/>
      <c r="Z51" s="270"/>
      <c r="AA51" s="271"/>
      <c r="AC51" s="561" t="s">
        <v>1048</v>
      </c>
      <c r="AD51" s="562" t="b">
        <f>s051.00825=s051.00805+s051.00815</f>
        <v>1</v>
      </c>
      <c r="AE51" s="1" t="s">
        <v>417</v>
      </c>
      <c r="AJ51" s="1" t="s">
        <v>1766</v>
      </c>
    </row>
    <row r="52" spans="1:36" s="43" customFormat="1" ht="11.25">
      <c r="A52" s="76"/>
      <c r="B52" s="161"/>
      <c r="C52" s="161"/>
      <c r="D52" s="161"/>
      <c r="E52" s="161"/>
      <c r="F52" s="161"/>
      <c r="G52" s="161"/>
      <c r="H52" s="161"/>
      <c r="I52" s="161"/>
      <c r="J52" s="161"/>
      <c r="K52" s="161"/>
      <c r="L52" s="161"/>
      <c r="M52" s="161"/>
      <c r="N52" s="161"/>
      <c r="O52" s="161"/>
      <c r="P52" s="161"/>
      <c r="Q52" s="806"/>
      <c r="R52" s="806"/>
      <c r="S52" s="807"/>
      <c r="AC52" s="255" t="s">
        <v>1049</v>
      </c>
      <c r="AD52" s="317" t="b">
        <f>s051.00826=s051.00806+s051.00816</f>
        <v>1</v>
      </c>
      <c r="AE52" s="1" t="s">
        <v>417</v>
      </c>
      <c r="AJ52" s="43" t="s">
        <v>1767</v>
      </c>
    </row>
    <row r="53" spans="1:36" s="7" customFormat="1" ht="11.25">
      <c r="A53" s="76" t="s">
        <v>1658</v>
      </c>
      <c r="B53" s="77"/>
      <c r="C53" s="77"/>
      <c r="D53" s="77"/>
      <c r="E53" s="77"/>
      <c r="F53" s="77"/>
      <c r="G53" s="89"/>
      <c r="H53" s="89"/>
      <c r="I53" s="77"/>
      <c r="J53" s="77"/>
      <c r="K53" s="77"/>
      <c r="L53" s="77"/>
      <c r="M53" s="77"/>
      <c r="N53" s="79"/>
      <c r="O53" s="79"/>
      <c r="P53" s="808" t="s">
        <v>1507</v>
      </c>
      <c r="Q53" s="808"/>
      <c r="R53" s="808"/>
      <c r="S53" s="809"/>
      <c r="T53" s="88"/>
      <c r="U53" s="1"/>
      <c r="V53" s="1"/>
      <c r="AC53" s="255" t="s">
        <v>1050</v>
      </c>
      <c r="AD53" s="317" t="b">
        <f>s051.00827=s051.00807+s051.00817</f>
        <v>1</v>
      </c>
      <c r="AE53" s="1" t="s">
        <v>417</v>
      </c>
      <c r="AJ53" s="7" t="s">
        <v>1768</v>
      </c>
    </row>
    <row r="54" spans="1:36" s="7" customFormat="1" ht="11.25">
      <c r="A54" s="812" t="s">
        <v>1256</v>
      </c>
      <c r="B54" s="813"/>
      <c r="C54" s="813"/>
      <c r="D54" s="813"/>
      <c r="E54" s="813"/>
      <c r="F54" s="813"/>
      <c r="G54" s="813"/>
      <c r="H54" s="813"/>
      <c r="I54" s="57"/>
      <c r="J54" s="57"/>
      <c r="K54" s="57"/>
      <c r="L54" s="810" t="s">
        <v>1506</v>
      </c>
      <c r="M54" s="810"/>
      <c r="N54" s="57"/>
      <c r="O54" s="57"/>
      <c r="P54" s="810"/>
      <c r="Q54" s="810"/>
      <c r="R54" s="810"/>
      <c r="S54" s="811"/>
      <c r="AC54" s="255" t="s">
        <v>1051</v>
      </c>
      <c r="AD54" s="317" t="b">
        <f>s051.00828=s051.00808+s051.00818</f>
        <v>1</v>
      </c>
      <c r="AE54" s="1" t="s">
        <v>417</v>
      </c>
      <c r="AJ54" s="7" t="s">
        <v>1769</v>
      </c>
    </row>
    <row r="55" spans="1:36" s="7" customFormat="1" ht="11.25">
      <c r="A55" s="251" t="s">
        <v>1690</v>
      </c>
      <c r="B55" s="77"/>
      <c r="C55" s="77"/>
      <c r="D55" s="77"/>
      <c r="E55" s="77"/>
      <c r="F55" s="77"/>
      <c r="G55" s="77"/>
      <c r="H55" s="77"/>
      <c r="I55" s="77"/>
      <c r="J55" s="77"/>
      <c r="K55" s="77"/>
      <c r="L55" s="60" t="s">
        <v>932</v>
      </c>
      <c r="M55" s="792">
        <v>-48692000</v>
      </c>
      <c r="N55" s="793"/>
      <c r="O55" s="794"/>
      <c r="P55" s="286" t="s">
        <v>1117</v>
      </c>
      <c r="Q55" s="792">
        <v>-127135000</v>
      </c>
      <c r="R55" s="793"/>
      <c r="S55" s="794"/>
      <c r="AC55" s="255" t="s">
        <v>1052</v>
      </c>
      <c r="AD55" s="317" t="b">
        <f>s051.00829=s051.00820+s051.00821+s051.00822+s051.00823+s051.00824+s051.00825+s051.00826+s051.00827+s051.00828</f>
        <v>1</v>
      </c>
      <c r="AE55" s="1" t="s">
        <v>417</v>
      </c>
      <c r="AJ55" s="7" t="s">
        <v>1770</v>
      </c>
    </row>
    <row r="56" spans="1:36" ht="11.25">
      <c r="A56" s="251" t="s">
        <v>1691</v>
      </c>
      <c r="B56" s="252"/>
      <c r="C56" s="77"/>
      <c r="D56" s="77"/>
      <c r="E56" s="77"/>
      <c r="F56" s="77"/>
      <c r="G56" s="77"/>
      <c r="H56" s="77"/>
      <c r="I56" s="77"/>
      <c r="J56" s="77"/>
      <c r="K56" s="77"/>
      <c r="L56" s="60" t="s">
        <v>1742</v>
      </c>
      <c r="M56" s="697">
        <v>-41594000</v>
      </c>
      <c r="N56" s="802"/>
      <c r="O56" s="699"/>
      <c r="P56" s="286" t="s">
        <v>1118</v>
      </c>
      <c r="Q56" s="697">
        <v>-123501000</v>
      </c>
      <c r="R56" s="698"/>
      <c r="S56" s="699"/>
      <c r="T56" s="1"/>
      <c r="U56" s="1"/>
      <c r="V56" s="1"/>
      <c r="W56" s="1"/>
      <c r="X56" s="1"/>
      <c r="Y56" s="1"/>
      <c r="Z56" s="1"/>
      <c r="AA56" s="1"/>
      <c r="AC56" s="255" t="s">
        <v>1053</v>
      </c>
      <c r="AD56" s="317" t="b">
        <f>s051.00839=s051.00830+s051.00831+s051.00832+s051.00833+s051.00834+s051.00835+s051.00836+s051.00837+s051.00838</f>
        <v>1</v>
      </c>
      <c r="AE56" s="1" t="s">
        <v>417</v>
      </c>
      <c r="AJ56" s="1" t="s">
        <v>1771</v>
      </c>
    </row>
    <row r="57" spans="1:36" ht="11.25">
      <c r="A57" s="77" t="s">
        <v>1692</v>
      </c>
      <c r="B57" s="77"/>
      <c r="C57" s="77"/>
      <c r="D57" s="77"/>
      <c r="E57" s="77"/>
      <c r="F57" s="77"/>
      <c r="G57" s="77"/>
      <c r="H57" s="77"/>
      <c r="I57" s="77"/>
      <c r="J57" s="77"/>
      <c r="K57" s="77"/>
      <c r="L57" s="60" t="s">
        <v>1743</v>
      </c>
      <c r="M57" s="697">
        <v>-564080000</v>
      </c>
      <c r="N57" s="802"/>
      <c r="O57" s="699"/>
      <c r="P57" s="286" t="s">
        <v>1119</v>
      </c>
      <c r="Q57" s="697">
        <v>-473794000</v>
      </c>
      <c r="R57" s="698"/>
      <c r="S57" s="699"/>
      <c r="T57" s="1"/>
      <c r="U57" s="1"/>
      <c r="V57" s="1"/>
      <c r="W57" s="1"/>
      <c r="X57" s="1"/>
      <c r="Y57" s="1"/>
      <c r="Z57" s="1"/>
      <c r="AA57" s="1"/>
      <c r="AC57" s="255" t="s">
        <v>1054</v>
      </c>
      <c r="AD57" s="317" t="b">
        <f>s051.01306=s051.01300+s051.01301+s051.01302+s051.01303+s051.01304+s051.01305</f>
        <v>1</v>
      </c>
      <c r="AE57" s="1" t="s">
        <v>417</v>
      </c>
      <c r="AJ57" s="1" t="s">
        <v>1772</v>
      </c>
    </row>
    <row r="58" spans="1:36" s="7" customFormat="1" ht="11.25">
      <c r="A58" s="77" t="s">
        <v>1693</v>
      </c>
      <c r="B58" s="77"/>
      <c r="C58" s="77"/>
      <c r="D58" s="77"/>
      <c r="E58" s="77"/>
      <c r="F58" s="77"/>
      <c r="G58" s="77"/>
      <c r="H58" s="77"/>
      <c r="I58" s="77"/>
      <c r="J58" s="77"/>
      <c r="K58" s="77"/>
      <c r="L58" s="60" t="s">
        <v>1744</v>
      </c>
      <c r="M58" s="694">
        <v>0</v>
      </c>
      <c r="N58" s="695"/>
      <c r="O58" s="696"/>
      <c r="P58" s="286" t="s">
        <v>1120</v>
      </c>
      <c r="Q58" s="694"/>
      <c r="R58" s="695"/>
      <c r="S58" s="696"/>
      <c r="AC58" s="255" t="s">
        <v>59</v>
      </c>
      <c r="AD58" s="317" t="b">
        <f>s051.01316=s051.01310+s051.01311+s051.01312+s051.01313+s051.01314+s051.01315</f>
        <v>1</v>
      </c>
      <c r="AE58" s="7" t="s">
        <v>417</v>
      </c>
      <c r="AJ58" s="7" t="s">
        <v>1773</v>
      </c>
    </row>
    <row r="59" spans="1:36" s="33" customFormat="1" ht="11.25">
      <c r="A59" s="70" t="s">
        <v>959</v>
      </c>
      <c r="B59" s="70"/>
      <c r="C59" s="70"/>
      <c r="D59" s="70"/>
      <c r="E59" s="70"/>
      <c r="F59" s="70"/>
      <c r="G59" s="70"/>
      <c r="H59" s="70"/>
      <c r="I59" s="70"/>
      <c r="J59" s="70"/>
      <c r="K59" s="70"/>
      <c r="L59" s="66" t="s">
        <v>1745</v>
      </c>
      <c r="M59" s="700">
        <v>435920000</v>
      </c>
      <c r="N59" s="701"/>
      <c r="O59" s="702"/>
      <c r="P59" s="66" t="s">
        <v>1121</v>
      </c>
      <c r="Q59" s="837">
        <v>526205000</v>
      </c>
      <c r="R59" s="838"/>
      <c r="S59" s="839"/>
      <c r="AC59" s="255" t="s">
        <v>1037</v>
      </c>
      <c r="AD59" s="317" t="b">
        <f>s051.01326=s051.01320+s051.01321+s051.01322+s051.01323+s051.01324+s051.01325</f>
        <v>1</v>
      </c>
      <c r="AE59" s="33" t="s">
        <v>417</v>
      </c>
      <c r="AJ59" s="33" t="s">
        <v>1774</v>
      </c>
    </row>
    <row r="60" spans="1:36" s="33" customFormat="1" ht="11.25">
      <c r="A60" s="70" t="s">
        <v>960</v>
      </c>
      <c r="B60" s="70"/>
      <c r="C60" s="70"/>
      <c r="D60" s="70"/>
      <c r="E60" s="70"/>
      <c r="F60" s="70"/>
      <c r="G60" s="70"/>
      <c r="H60" s="70"/>
      <c r="I60" s="70"/>
      <c r="J60" s="70"/>
      <c r="K60" s="70"/>
      <c r="L60" s="66" t="s">
        <v>1746</v>
      </c>
      <c r="M60" s="803">
        <v>8.71</v>
      </c>
      <c r="N60" s="804"/>
      <c r="O60" s="805"/>
      <c r="P60" s="66" t="s">
        <v>1122</v>
      </c>
      <c r="Q60" s="803">
        <v>19</v>
      </c>
      <c r="R60" s="804"/>
      <c r="S60" s="805"/>
      <c r="AC60" s="255" t="s">
        <v>1055</v>
      </c>
      <c r="AD60" s="317" t="b">
        <f>s051.01336=s051.01330+s051.01331+s051.01332+s051.01333+s051.01334+s051.01335</f>
        <v>1</v>
      </c>
      <c r="AE60" s="33" t="s">
        <v>417</v>
      </c>
      <c r="AJ60" s="33" t="s">
        <v>1775</v>
      </c>
    </row>
    <row r="61" spans="1:36" s="7" customFormat="1" ht="11.25">
      <c r="A61" s="555" t="s">
        <v>199</v>
      </c>
      <c r="B61" s="267"/>
      <c r="C61" s="267"/>
      <c r="D61" s="267"/>
      <c r="E61" s="267"/>
      <c r="F61" s="267"/>
      <c r="G61" s="267"/>
      <c r="H61" s="267"/>
      <c r="I61" s="267"/>
      <c r="J61" s="267"/>
      <c r="K61" s="267"/>
      <c r="L61" s="267"/>
      <c r="M61" s="267"/>
      <c r="N61" s="267"/>
      <c r="O61" s="267"/>
      <c r="P61" s="267"/>
      <c r="Q61" s="267"/>
      <c r="R61" s="267"/>
      <c r="S61" s="552"/>
      <c r="AC61" s="561" t="s">
        <v>1056</v>
      </c>
      <c r="AD61" s="562" t="b">
        <f>s051.01346=s051.01340+s051.01341+s051.01342+s051.01343+s051.01344+s051.01345</f>
        <v>1</v>
      </c>
      <c r="AE61" s="7" t="s">
        <v>417</v>
      </c>
      <c r="AJ61" s="7" t="s">
        <v>1776</v>
      </c>
    </row>
    <row r="62" spans="1:36" s="7" customFormat="1" ht="11.25">
      <c r="A62" s="567" t="s">
        <v>1509</v>
      </c>
      <c r="B62" s="218"/>
      <c r="C62" s="218"/>
      <c r="D62" s="218"/>
      <c r="E62" s="218"/>
      <c r="F62" s="218"/>
      <c r="G62" s="218"/>
      <c r="H62" s="218"/>
      <c r="I62" s="218"/>
      <c r="J62" s="218"/>
      <c r="K62" s="218"/>
      <c r="L62" s="218"/>
      <c r="M62" s="218"/>
      <c r="N62" s="218"/>
      <c r="O62" s="218"/>
      <c r="P62" s="218"/>
      <c r="Q62" s="218"/>
      <c r="R62" s="218"/>
      <c r="S62" s="219"/>
      <c r="T62" s="1"/>
      <c r="AC62" s="561" t="s">
        <v>1057</v>
      </c>
      <c r="AD62" s="562" t="b">
        <f>s051.01356=s051.01350+s051.01351+s051.01352+s051.01353+s051.01354+s051.01355</f>
        <v>1</v>
      </c>
      <c r="AE62" s="7" t="s">
        <v>417</v>
      </c>
      <c r="AJ62" s="7" t="s">
        <v>1777</v>
      </c>
    </row>
    <row r="63" spans="1:36" s="7" customFormat="1" ht="11.25">
      <c r="A63" s="568"/>
      <c r="B63" s="218"/>
      <c r="C63" s="218"/>
      <c r="D63" s="218"/>
      <c r="E63" s="218"/>
      <c r="F63" s="218"/>
      <c r="G63" s="218"/>
      <c r="H63" s="218"/>
      <c r="I63" s="218"/>
      <c r="J63" s="218"/>
      <c r="K63" s="218"/>
      <c r="L63" s="218"/>
      <c r="M63" s="218"/>
      <c r="N63" s="218"/>
      <c r="O63" s="218"/>
      <c r="P63" s="218"/>
      <c r="Q63" s="218"/>
      <c r="R63" s="218"/>
      <c r="S63" s="219"/>
      <c r="T63" s="1"/>
      <c r="AC63" s="257"/>
      <c r="AD63" s="319"/>
      <c r="AJ63" s="7" t="s">
        <v>1778</v>
      </c>
    </row>
    <row r="64" spans="1:36" s="7" customFormat="1" ht="11.25">
      <c r="A64" s="568"/>
      <c r="B64" s="218"/>
      <c r="C64" s="218"/>
      <c r="D64" s="218"/>
      <c r="E64" s="218"/>
      <c r="F64" s="218"/>
      <c r="G64" s="218"/>
      <c r="H64" s="218"/>
      <c r="I64" s="218"/>
      <c r="J64" s="218"/>
      <c r="K64" s="218"/>
      <c r="L64" s="218"/>
      <c r="M64" s="218"/>
      <c r="N64" s="218"/>
      <c r="O64" s="218"/>
      <c r="P64" s="218"/>
      <c r="Q64" s="218"/>
      <c r="R64" s="218"/>
      <c r="S64" s="219"/>
      <c r="T64" s="1"/>
      <c r="AC64" s="257"/>
      <c r="AD64" s="319"/>
      <c r="AJ64" s="7" t="s">
        <v>1779</v>
      </c>
    </row>
    <row r="65" spans="1:36" s="7" customFormat="1" ht="11.25">
      <c r="A65" s="553"/>
      <c r="B65" s="218"/>
      <c r="C65" s="218"/>
      <c r="D65" s="218"/>
      <c r="E65" s="218"/>
      <c r="F65" s="218"/>
      <c r="G65" s="218"/>
      <c r="H65" s="218"/>
      <c r="I65" s="218"/>
      <c r="J65" s="218"/>
      <c r="K65" s="218"/>
      <c r="L65" s="218"/>
      <c r="M65" s="218"/>
      <c r="N65" s="218"/>
      <c r="O65" s="218"/>
      <c r="P65" s="218"/>
      <c r="Q65" s="218"/>
      <c r="R65" s="218"/>
      <c r="S65" s="219"/>
      <c r="T65" s="1"/>
      <c r="AC65" s="257"/>
      <c r="AD65" s="319"/>
      <c r="AJ65" s="7" t="s">
        <v>1780</v>
      </c>
    </row>
    <row r="66" spans="1:36" s="7" customFormat="1" ht="11.25">
      <c r="A66" s="553"/>
      <c r="B66" s="218"/>
      <c r="C66" s="218"/>
      <c r="D66" s="218"/>
      <c r="E66" s="218"/>
      <c r="F66" s="218"/>
      <c r="G66" s="218"/>
      <c r="H66" s="218"/>
      <c r="I66" s="218"/>
      <c r="J66" s="218"/>
      <c r="K66" s="218"/>
      <c r="L66" s="218"/>
      <c r="M66" s="218"/>
      <c r="N66" s="218"/>
      <c r="O66" s="218"/>
      <c r="P66" s="218"/>
      <c r="Q66" s="218"/>
      <c r="R66" s="218"/>
      <c r="S66" s="219"/>
      <c r="T66" s="1"/>
      <c r="AC66" s="257"/>
      <c r="AD66" s="319"/>
      <c r="AJ66" s="7" t="s">
        <v>1781</v>
      </c>
    </row>
    <row r="67" spans="1:36" s="7" customFormat="1" ht="11.25">
      <c r="A67" s="553"/>
      <c r="B67" s="218"/>
      <c r="C67" s="218"/>
      <c r="D67" s="218"/>
      <c r="E67" s="218"/>
      <c r="F67" s="218"/>
      <c r="G67" s="218"/>
      <c r="H67" s="218"/>
      <c r="I67" s="218"/>
      <c r="J67" s="218"/>
      <c r="K67" s="218"/>
      <c r="L67" s="218"/>
      <c r="M67" s="218"/>
      <c r="N67" s="218"/>
      <c r="O67" s="218"/>
      <c r="P67" s="218"/>
      <c r="Q67" s="218"/>
      <c r="R67" s="218"/>
      <c r="S67" s="219"/>
      <c r="T67" s="1"/>
      <c r="AC67" s="257"/>
      <c r="AD67" s="319"/>
      <c r="AJ67" s="7" t="s">
        <v>1782</v>
      </c>
    </row>
    <row r="68" spans="1:36" s="7" customFormat="1" ht="11.25">
      <c r="A68" s="557"/>
      <c r="B68" s="270"/>
      <c r="C68" s="270"/>
      <c r="D68" s="270"/>
      <c r="E68" s="270"/>
      <c r="F68" s="270"/>
      <c r="G68" s="270"/>
      <c r="H68" s="270"/>
      <c r="I68" s="270"/>
      <c r="J68" s="270"/>
      <c r="K68" s="270"/>
      <c r="L68" s="270"/>
      <c r="M68" s="270"/>
      <c r="N68" s="270"/>
      <c r="O68" s="270"/>
      <c r="P68" s="270"/>
      <c r="Q68" s="270"/>
      <c r="R68" s="270"/>
      <c r="S68" s="271"/>
      <c r="T68" s="1"/>
      <c r="AC68" s="257"/>
      <c r="AD68" s="319"/>
      <c r="AJ68" s="7" t="s">
        <v>1783</v>
      </c>
    </row>
    <row r="69" spans="1:36" ht="11.25">
      <c r="A69" s="53" t="s">
        <v>1657</v>
      </c>
      <c r="B69" s="54"/>
      <c r="C69" s="54"/>
      <c r="D69" s="814" t="s">
        <v>1250</v>
      </c>
      <c r="E69" s="814"/>
      <c r="F69" s="74"/>
      <c r="G69" s="74"/>
      <c r="H69" s="843" t="s">
        <v>1251</v>
      </c>
      <c r="I69" s="843"/>
      <c r="J69" s="843"/>
      <c r="K69" s="843"/>
      <c r="L69" s="843"/>
      <c r="M69" s="843"/>
      <c r="N69" s="843"/>
      <c r="O69" s="843"/>
      <c r="P69" s="55"/>
      <c r="Q69" s="55"/>
      <c r="R69" s="814" t="s">
        <v>1749</v>
      </c>
      <c r="S69" s="814"/>
      <c r="T69" s="74"/>
      <c r="U69" s="74"/>
      <c r="V69" s="814" t="s">
        <v>1254</v>
      </c>
      <c r="W69" s="844"/>
      <c r="X69" s="88"/>
      <c r="Y69" s="88"/>
      <c r="Z69" s="842"/>
      <c r="AA69" s="88"/>
      <c r="AB69" s="842"/>
      <c r="AC69" s="144"/>
      <c r="AD69" s="842"/>
      <c r="AJ69" s="1" t="s">
        <v>1302</v>
      </c>
    </row>
    <row r="70" spans="1:36" ht="11.25">
      <c r="A70" s="812" t="s">
        <v>1642</v>
      </c>
      <c r="B70" s="813"/>
      <c r="C70" s="813"/>
      <c r="D70" s="810"/>
      <c r="E70" s="810"/>
      <c r="F70" s="58"/>
      <c r="G70" s="58"/>
      <c r="H70" s="843" t="s">
        <v>1252</v>
      </c>
      <c r="I70" s="843"/>
      <c r="J70" s="38"/>
      <c r="K70" s="38"/>
      <c r="L70" s="795" t="s">
        <v>1253</v>
      </c>
      <c r="M70" s="795"/>
      <c r="N70" s="795" t="s">
        <v>48</v>
      </c>
      <c r="O70" s="795"/>
      <c r="P70" s="58"/>
      <c r="Q70" s="58"/>
      <c r="R70" s="810"/>
      <c r="S70" s="810"/>
      <c r="T70" s="58"/>
      <c r="U70" s="58"/>
      <c r="V70" s="810"/>
      <c r="W70" s="811"/>
      <c r="X70" s="170"/>
      <c r="Y70" s="88"/>
      <c r="Z70" s="842"/>
      <c r="AA70" s="88"/>
      <c r="AB70" s="842"/>
      <c r="AC70" s="144"/>
      <c r="AD70" s="842"/>
      <c r="AJ70" s="1" t="s">
        <v>1303</v>
      </c>
    </row>
    <row r="71" spans="1:36" ht="11.25">
      <c r="A71" s="77" t="s">
        <v>50</v>
      </c>
      <c r="B71" s="77"/>
      <c r="C71" s="77"/>
      <c r="D71" s="60" t="s">
        <v>1134</v>
      </c>
      <c r="E71" s="792">
        <v>2382</v>
      </c>
      <c r="F71" s="793"/>
      <c r="G71" s="794"/>
      <c r="H71" s="60" t="s">
        <v>281</v>
      </c>
      <c r="I71" s="792">
        <v>389000</v>
      </c>
      <c r="J71" s="793"/>
      <c r="K71" s="794"/>
      <c r="L71" s="60" t="s">
        <v>285</v>
      </c>
      <c r="M71" s="362">
        <v>112000</v>
      </c>
      <c r="N71" s="60" t="s">
        <v>290</v>
      </c>
      <c r="O71" s="792">
        <v>501000</v>
      </c>
      <c r="P71" s="793"/>
      <c r="Q71" s="794"/>
      <c r="R71" s="60" t="s">
        <v>293</v>
      </c>
      <c r="S71" s="792">
        <v>20024000</v>
      </c>
      <c r="T71" s="793"/>
      <c r="U71" s="794"/>
      <c r="V71" s="60" t="s">
        <v>296</v>
      </c>
      <c r="W71" s="365">
        <v>20616000</v>
      </c>
      <c r="Y71" s="171"/>
      <c r="Z71" s="172"/>
      <c r="AA71" s="172"/>
      <c r="AB71" s="173"/>
      <c r="AC71" s="358"/>
      <c r="AD71" s="320"/>
      <c r="AJ71" s="1" t="s">
        <v>1304</v>
      </c>
    </row>
    <row r="72" spans="1:36" ht="11.25">
      <c r="A72" s="77" t="s">
        <v>51</v>
      </c>
      <c r="B72" s="77"/>
      <c r="C72" s="77"/>
      <c r="D72" s="60" t="s">
        <v>2262</v>
      </c>
      <c r="E72" s="697">
        <v>685</v>
      </c>
      <c r="F72" s="698"/>
      <c r="G72" s="699"/>
      <c r="H72" s="60" t="s">
        <v>282</v>
      </c>
      <c r="I72" s="697">
        <v>836000</v>
      </c>
      <c r="J72" s="698"/>
      <c r="K72" s="699"/>
      <c r="L72" s="60" t="s">
        <v>286</v>
      </c>
      <c r="M72" s="362">
        <v>112000</v>
      </c>
      <c r="N72" s="60" t="s">
        <v>291</v>
      </c>
      <c r="O72" s="697">
        <v>948000</v>
      </c>
      <c r="P72" s="698"/>
      <c r="Q72" s="699"/>
      <c r="R72" s="60" t="s">
        <v>294</v>
      </c>
      <c r="S72" s="697">
        <v>4681000</v>
      </c>
      <c r="T72" s="698"/>
      <c r="U72" s="699"/>
      <c r="V72" s="60" t="s">
        <v>1810</v>
      </c>
      <c r="W72" s="364">
        <v>5655000</v>
      </c>
      <c r="X72" s="171"/>
      <c r="Y72" s="171"/>
      <c r="Z72" s="172"/>
      <c r="AA72" s="172"/>
      <c r="AB72" s="173"/>
      <c r="AC72" s="358"/>
      <c r="AD72" s="320"/>
      <c r="AJ72" s="1" t="s">
        <v>1305</v>
      </c>
    </row>
    <row r="73" spans="1:36" ht="11.25">
      <c r="A73" s="77" t="s">
        <v>52</v>
      </c>
      <c r="B73" s="77"/>
      <c r="C73" s="77"/>
      <c r="D73" s="60" t="s">
        <v>2263</v>
      </c>
      <c r="E73" s="697">
        <v>438</v>
      </c>
      <c r="F73" s="698"/>
      <c r="G73" s="699"/>
      <c r="H73" s="60" t="s">
        <v>283</v>
      </c>
      <c r="I73" s="697">
        <v>210000</v>
      </c>
      <c r="J73" s="698"/>
      <c r="K73" s="699"/>
      <c r="L73" s="60" t="s">
        <v>287</v>
      </c>
      <c r="M73" s="362">
        <v>64000</v>
      </c>
      <c r="N73" s="60" t="s">
        <v>292</v>
      </c>
      <c r="O73" s="697">
        <v>274000</v>
      </c>
      <c r="P73" s="698"/>
      <c r="Q73" s="699"/>
      <c r="R73" s="60" t="s">
        <v>295</v>
      </c>
      <c r="S73" s="697">
        <v>3277000</v>
      </c>
      <c r="T73" s="698"/>
      <c r="U73" s="699"/>
      <c r="V73" s="60" t="s">
        <v>1811</v>
      </c>
      <c r="W73" s="364">
        <v>3571000</v>
      </c>
      <c r="X73" s="171"/>
      <c r="Y73" s="171"/>
      <c r="Z73" s="172"/>
      <c r="AA73" s="172"/>
      <c r="AB73" s="173"/>
      <c r="AC73" s="358"/>
      <c r="AD73" s="320"/>
      <c r="AJ73" s="1" t="s">
        <v>1306</v>
      </c>
    </row>
    <row r="74" spans="1:36" ht="11.25">
      <c r="A74" s="77" t="s">
        <v>53</v>
      </c>
      <c r="B74" s="77"/>
      <c r="C74" s="77"/>
      <c r="D74" s="60" t="s">
        <v>2264</v>
      </c>
      <c r="E74" s="697">
        <v>591</v>
      </c>
      <c r="F74" s="698"/>
      <c r="G74" s="699"/>
      <c r="H74" s="60" t="s">
        <v>284</v>
      </c>
      <c r="I74" s="697">
        <v>1064000</v>
      </c>
      <c r="J74" s="698"/>
      <c r="K74" s="699"/>
      <c r="L74" s="60" t="s">
        <v>288</v>
      </c>
      <c r="M74" s="362">
        <v>157000</v>
      </c>
      <c r="N74" s="60" t="s">
        <v>1030</v>
      </c>
      <c r="O74" s="697">
        <v>1221000</v>
      </c>
      <c r="P74" s="698"/>
      <c r="Q74" s="699"/>
      <c r="R74" s="60" t="s">
        <v>1803</v>
      </c>
      <c r="S74" s="697">
        <v>2884000</v>
      </c>
      <c r="T74" s="698"/>
      <c r="U74" s="699"/>
      <c r="V74" s="60" t="s">
        <v>1812</v>
      </c>
      <c r="W74" s="364">
        <v>4109000</v>
      </c>
      <c r="X74" s="171"/>
      <c r="Y74" s="171"/>
      <c r="Z74" s="172"/>
      <c r="AA74" s="172"/>
      <c r="AB74" s="173"/>
      <c r="AC74" s="358"/>
      <c r="AD74" s="320"/>
      <c r="AJ74" s="1" t="s">
        <v>1307</v>
      </c>
    </row>
    <row r="75" spans="1:36" ht="11.25">
      <c r="A75" s="77" t="s">
        <v>54</v>
      </c>
      <c r="B75" s="77"/>
      <c r="C75" s="77"/>
      <c r="D75" s="60" t="s">
        <v>2265</v>
      </c>
      <c r="E75" s="697">
        <v>521</v>
      </c>
      <c r="F75" s="698"/>
      <c r="G75" s="699"/>
      <c r="H75" s="60" t="s">
        <v>1427</v>
      </c>
      <c r="I75" s="697">
        <v>663000</v>
      </c>
      <c r="J75" s="698"/>
      <c r="K75" s="699"/>
      <c r="L75" s="60" t="s">
        <v>289</v>
      </c>
      <c r="M75" s="362">
        <v>90000</v>
      </c>
      <c r="N75" s="60" t="s">
        <v>1031</v>
      </c>
      <c r="O75" s="697">
        <v>753000</v>
      </c>
      <c r="P75" s="698"/>
      <c r="Q75" s="699"/>
      <c r="R75" s="60" t="s">
        <v>1804</v>
      </c>
      <c r="S75" s="697">
        <v>992000</v>
      </c>
      <c r="T75" s="698"/>
      <c r="U75" s="699"/>
      <c r="V75" s="60" t="s">
        <v>1813</v>
      </c>
      <c r="W75" s="364">
        <v>1746000</v>
      </c>
      <c r="X75" s="171"/>
      <c r="Y75" s="171"/>
      <c r="Z75" s="172"/>
      <c r="AA75" s="172"/>
      <c r="AB75" s="173"/>
      <c r="AC75" s="358"/>
      <c r="AD75" s="320"/>
      <c r="AJ75" s="1" t="s">
        <v>1308</v>
      </c>
    </row>
    <row r="76" spans="1:36" ht="11.25">
      <c r="A76" s="77" t="s">
        <v>71</v>
      </c>
      <c r="B76" s="77"/>
      <c r="C76" s="77"/>
      <c r="D76" s="60" t="s">
        <v>2266</v>
      </c>
      <c r="E76" s="697">
        <v>322</v>
      </c>
      <c r="F76" s="698"/>
      <c r="G76" s="699"/>
      <c r="H76" s="60" t="s">
        <v>1428</v>
      </c>
      <c r="I76" s="697">
        <v>308000</v>
      </c>
      <c r="J76" s="698"/>
      <c r="K76" s="699"/>
      <c r="L76" s="60" t="s">
        <v>1435</v>
      </c>
      <c r="M76" s="362">
        <v>45000</v>
      </c>
      <c r="N76" s="60" t="s">
        <v>1032</v>
      </c>
      <c r="O76" s="697">
        <v>353000</v>
      </c>
      <c r="P76" s="698"/>
      <c r="Q76" s="699"/>
      <c r="R76" s="60" t="s">
        <v>1805</v>
      </c>
      <c r="S76" s="697">
        <v>196000</v>
      </c>
      <c r="T76" s="698"/>
      <c r="U76" s="699"/>
      <c r="V76" s="60" t="s">
        <v>1814</v>
      </c>
      <c r="W76" s="364">
        <v>549000</v>
      </c>
      <c r="X76" s="171"/>
      <c r="Y76" s="171"/>
      <c r="Z76" s="172"/>
      <c r="AA76" s="172"/>
      <c r="AB76" s="173"/>
      <c r="AC76" s="358"/>
      <c r="AD76" s="320"/>
      <c r="AJ76" s="1" t="s">
        <v>1309</v>
      </c>
    </row>
    <row r="77" spans="1:36" ht="11.25">
      <c r="A77" s="77" t="s">
        <v>1695</v>
      </c>
      <c r="B77" s="77"/>
      <c r="C77" s="77"/>
      <c r="D77" s="60" t="s">
        <v>2267</v>
      </c>
      <c r="E77" s="697">
        <v>205</v>
      </c>
      <c r="F77" s="698"/>
      <c r="G77" s="699"/>
      <c r="H77" s="60" t="s">
        <v>1023</v>
      </c>
      <c r="I77" s="697">
        <v>234000</v>
      </c>
      <c r="J77" s="698"/>
      <c r="K77" s="699"/>
      <c r="L77" s="60" t="s">
        <v>1436</v>
      </c>
      <c r="M77" s="362">
        <v>44000</v>
      </c>
      <c r="N77" s="60" t="s">
        <v>1033</v>
      </c>
      <c r="O77" s="697">
        <v>278000</v>
      </c>
      <c r="P77" s="698"/>
      <c r="Q77" s="699"/>
      <c r="R77" s="60" t="s">
        <v>1806</v>
      </c>
      <c r="S77" s="697">
        <v>130000</v>
      </c>
      <c r="T77" s="698"/>
      <c r="U77" s="699"/>
      <c r="V77" s="60" t="s">
        <v>1815</v>
      </c>
      <c r="W77" s="364">
        <v>409000</v>
      </c>
      <c r="X77" s="171"/>
      <c r="Y77" s="171"/>
      <c r="Z77" s="172"/>
      <c r="AA77" s="172"/>
      <c r="AB77" s="173"/>
      <c r="AC77" s="358"/>
      <c r="AD77" s="320"/>
      <c r="AJ77" s="1" t="s">
        <v>1310</v>
      </c>
    </row>
    <row r="78" spans="1:36" ht="11.25">
      <c r="A78" s="77" t="s">
        <v>1696</v>
      </c>
      <c r="B78" s="77"/>
      <c r="C78" s="77"/>
      <c r="D78" s="60" t="s">
        <v>2268</v>
      </c>
      <c r="E78" s="697">
        <v>43</v>
      </c>
      <c r="F78" s="698"/>
      <c r="G78" s="699"/>
      <c r="H78" s="60" t="s">
        <v>1024</v>
      </c>
      <c r="I78" s="697">
        <v>68000</v>
      </c>
      <c r="J78" s="698"/>
      <c r="K78" s="699"/>
      <c r="L78" s="60" t="s">
        <v>1027</v>
      </c>
      <c r="M78" s="362">
        <v>27000</v>
      </c>
      <c r="N78" s="60" t="s">
        <v>1034</v>
      </c>
      <c r="O78" s="697">
        <v>95000</v>
      </c>
      <c r="P78" s="698"/>
      <c r="Q78" s="699"/>
      <c r="R78" s="60" t="s">
        <v>1807</v>
      </c>
      <c r="S78" s="697">
        <v>71000</v>
      </c>
      <c r="T78" s="698"/>
      <c r="U78" s="699"/>
      <c r="V78" s="60" t="s">
        <v>1816</v>
      </c>
      <c r="W78" s="364">
        <v>165000</v>
      </c>
      <c r="X78" s="171"/>
      <c r="Y78" s="171"/>
      <c r="Z78" s="172"/>
      <c r="AA78" s="172"/>
      <c r="AB78" s="173"/>
      <c r="AC78" s="358"/>
      <c r="AD78" s="320"/>
      <c r="AJ78" s="1" t="s">
        <v>1311</v>
      </c>
    </row>
    <row r="79" spans="1:36" ht="11.25">
      <c r="A79" s="57" t="s">
        <v>72</v>
      </c>
      <c r="B79" s="57"/>
      <c r="C79" s="57"/>
      <c r="D79" s="60" t="s">
        <v>2269</v>
      </c>
      <c r="E79" s="694">
        <v>6661</v>
      </c>
      <c r="F79" s="695"/>
      <c r="G79" s="696"/>
      <c r="H79" s="60" t="s">
        <v>1025</v>
      </c>
      <c r="I79" s="694">
        <v>0</v>
      </c>
      <c r="J79" s="695"/>
      <c r="K79" s="696"/>
      <c r="L79" s="60" t="s">
        <v>1028</v>
      </c>
      <c r="M79" s="363">
        <v>0</v>
      </c>
      <c r="N79" s="60" t="s">
        <v>1035</v>
      </c>
      <c r="O79" s="694">
        <v>0</v>
      </c>
      <c r="P79" s="695"/>
      <c r="Q79" s="696"/>
      <c r="R79" s="60" t="s">
        <v>1808</v>
      </c>
      <c r="S79" s="694">
        <v>0</v>
      </c>
      <c r="T79" s="695"/>
      <c r="U79" s="696"/>
      <c r="V79" s="60" t="s">
        <v>1817</v>
      </c>
      <c r="W79" s="364">
        <v>55641000</v>
      </c>
      <c r="X79" s="171"/>
      <c r="Y79" s="171"/>
      <c r="Z79" s="172"/>
      <c r="AA79" s="172"/>
      <c r="AB79" s="173"/>
      <c r="AC79" s="358"/>
      <c r="AD79" s="320"/>
      <c r="AJ79" s="1" t="s">
        <v>1312</v>
      </c>
    </row>
    <row r="80" spans="1:36" ht="11.25">
      <c r="A80" s="73" t="s">
        <v>48</v>
      </c>
      <c r="B80" s="73"/>
      <c r="C80" s="569"/>
      <c r="D80" s="68" t="s">
        <v>2270</v>
      </c>
      <c r="E80" s="826">
        <v>11848</v>
      </c>
      <c r="F80" s="827"/>
      <c r="G80" s="828"/>
      <c r="H80" s="68" t="s">
        <v>1026</v>
      </c>
      <c r="I80" s="826">
        <v>3772000</v>
      </c>
      <c r="J80" s="827"/>
      <c r="K80" s="828"/>
      <c r="L80" s="68" t="s">
        <v>1029</v>
      </c>
      <c r="M80" s="395">
        <v>651000</v>
      </c>
      <c r="N80" s="68" t="s">
        <v>1036</v>
      </c>
      <c r="O80" s="826">
        <v>4423000</v>
      </c>
      <c r="P80" s="827"/>
      <c r="Q80" s="828"/>
      <c r="R80" s="68" t="s">
        <v>1809</v>
      </c>
      <c r="S80" s="826">
        <v>32255000</v>
      </c>
      <c r="T80" s="827"/>
      <c r="U80" s="828"/>
      <c r="V80" s="68" t="s">
        <v>1818</v>
      </c>
      <c r="W80" s="394">
        <v>92461000</v>
      </c>
      <c r="X80" s="845"/>
      <c r="Y80" s="846"/>
      <c r="Z80" s="846"/>
      <c r="AA80" s="846"/>
      <c r="AB80" s="174"/>
      <c r="AC80" s="359"/>
      <c r="AD80" s="321"/>
      <c r="AJ80" s="1" t="s">
        <v>1313</v>
      </c>
    </row>
    <row r="81" spans="1:36" ht="11.25">
      <c r="A81" s="829" t="s">
        <v>128</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1"/>
      <c r="AB81" s="92"/>
      <c r="AC81" s="360"/>
      <c r="AD81" s="249"/>
      <c r="AE81" s="174"/>
      <c r="AF81" s="174"/>
      <c r="AG81" s="174"/>
      <c r="AJ81" s="1" t="s">
        <v>1314</v>
      </c>
    </row>
    <row r="82" spans="1:36" ht="11.25">
      <c r="A82" s="847"/>
      <c r="B82" s="848"/>
      <c r="C82" s="848"/>
      <c r="D82" s="848"/>
      <c r="E82" s="848"/>
      <c r="F82" s="848"/>
      <c r="G82" s="848"/>
      <c r="H82" s="848"/>
      <c r="I82" s="848"/>
      <c r="J82" s="848"/>
      <c r="K82" s="848"/>
      <c r="L82" s="848"/>
      <c r="M82" s="848"/>
      <c r="N82" s="848"/>
      <c r="O82" s="848"/>
      <c r="P82" s="848"/>
      <c r="Q82" s="848"/>
      <c r="R82" s="848"/>
      <c r="S82" s="848"/>
      <c r="T82" s="848"/>
      <c r="U82" s="848"/>
      <c r="V82" s="848"/>
      <c r="W82" s="848"/>
      <c r="X82" s="848"/>
      <c r="Y82" s="848"/>
      <c r="Z82" s="848"/>
      <c r="AA82" s="849"/>
      <c r="AB82" s="92"/>
      <c r="AC82" s="360"/>
      <c r="AD82" s="249"/>
      <c r="AE82" s="174"/>
      <c r="AF82" s="174"/>
      <c r="AG82" s="174"/>
      <c r="AJ82" s="1" t="s">
        <v>1315</v>
      </c>
    </row>
    <row r="83" spans="1:36" ht="11.25">
      <c r="A83" s="53"/>
      <c r="B83" s="54"/>
      <c r="C83" s="54"/>
      <c r="D83" s="814" t="s">
        <v>1250</v>
      </c>
      <c r="E83" s="814"/>
      <c r="F83" s="814"/>
      <c r="G83" s="814"/>
      <c r="H83" s="843" t="s">
        <v>1251</v>
      </c>
      <c r="I83" s="843"/>
      <c r="J83" s="843"/>
      <c r="K83" s="843"/>
      <c r="L83" s="843"/>
      <c r="M83" s="843"/>
      <c r="N83" s="843"/>
      <c r="O83" s="843"/>
      <c r="P83" s="55"/>
      <c r="Q83" s="814" t="s">
        <v>1749</v>
      </c>
      <c r="R83" s="74"/>
      <c r="S83" s="814" t="s">
        <v>1254</v>
      </c>
      <c r="T83" s="74"/>
      <c r="U83" s="814"/>
      <c r="V83" s="74"/>
      <c r="W83" s="814" t="s">
        <v>1643</v>
      </c>
      <c r="X83" s="74"/>
      <c r="Y83" s="54"/>
      <c r="Z83" s="74"/>
      <c r="AA83" s="844" t="s">
        <v>1255</v>
      </c>
      <c r="AJ83" s="1" t="s">
        <v>1316</v>
      </c>
    </row>
    <row r="84" spans="1:36" ht="11.25">
      <c r="A84" s="812" t="s">
        <v>1644</v>
      </c>
      <c r="B84" s="813"/>
      <c r="C84" s="813"/>
      <c r="D84" s="810"/>
      <c r="E84" s="810"/>
      <c r="F84" s="810"/>
      <c r="G84" s="810"/>
      <c r="H84" s="843" t="s">
        <v>1252</v>
      </c>
      <c r="I84" s="843"/>
      <c r="J84" s="38"/>
      <c r="K84" s="38"/>
      <c r="L84" s="795" t="s">
        <v>1253</v>
      </c>
      <c r="M84" s="795"/>
      <c r="N84" s="795" t="s">
        <v>48</v>
      </c>
      <c r="O84" s="795"/>
      <c r="P84" s="58"/>
      <c r="Q84" s="810"/>
      <c r="R84" s="58"/>
      <c r="S84" s="810" t="s">
        <v>47</v>
      </c>
      <c r="T84" s="58"/>
      <c r="U84" s="810"/>
      <c r="V84" s="58"/>
      <c r="W84" s="810"/>
      <c r="X84" s="58"/>
      <c r="Y84" s="58"/>
      <c r="Z84" s="58"/>
      <c r="AA84" s="811"/>
      <c r="AB84" s="59"/>
      <c r="AJ84" s="1" t="s">
        <v>1324</v>
      </c>
    </row>
    <row r="85" spans="1:36" ht="11.25">
      <c r="A85" s="77" t="s">
        <v>50</v>
      </c>
      <c r="B85" s="77"/>
      <c r="C85" s="77"/>
      <c r="D85" s="60" t="s">
        <v>298</v>
      </c>
      <c r="E85" s="792">
        <v>0</v>
      </c>
      <c r="F85" s="793"/>
      <c r="G85" s="794"/>
      <c r="H85" s="60" t="s">
        <v>299</v>
      </c>
      <c r="I85" s="792">
        <v>0</v>
      </c>
      <c r="J85" s="793"/>
      <c r="K85" s="794"/>
      <c r="L85" s="60" t="s">
        <v>1837</v>
      </c>
      <c r="M85" s="362">
        <v>0</v>
      </c>
      <c r="N85" s="60" t="s">
        <v>1135</v>
      </c>
      <c r="O85" s="362">
        <v>0</v>
      </c>
      <c r="P85" s="60" t="s">
        <v>235</v>
      </c>
      <c r="Q85" s="362">
        <v>0</v>
      </c>
      <c r="R85" s="60" t="s">
        <v>236</v>
      </c>
      <c r="S85" s="792">
        <v>0</v>
      </c>
      <c r="T85" s="793"/>
      <c r="U85" s="794"/>
      <c r="V85" s="60" t="s">
        <v>303</v>
      </c>
      <c r="W85" s="796">
        <v>0</v>
      </c>
      <c r="X85" s="797"/>
      <c r="Y85" s="798"/>
      <c r="Z85" s="60" t="s">
        <v>308</v>
      </c>
      <c r="AA85" s="369">
        <v>0</v>
      </c>
      <c r="AJ85" s="1" t="s">
        <v>1325</v>
      </c>
    </row>
    <row r="86" spans="1:36" ht="11.25">
      <c r="A86" s="77" t="s">
        <v>51</v>
      </c>
      <c r="B86" s="77"/>
      <c r="C86" s="77"/>
      <c r="D86" s="60" t="s">
        <v>1819</v>
      </c>
      <c r="E86" s="697">
        <v>0</v>
      </c>
      <c r="F86" s="698"/>
      <c r="G86" s="699"/>
      <c r="H86" s="60" t="s">
        <v>1828</v>
      </c>
      <c r="I86" s="697">
        <v>0</v>
      </c>
      <c r="J86" s="698"/>
      <c r="K86" s="699"/>
      <c r="L86" s="60" t="s">
        <v>1838</v>
      </c>
      <c r="M86" s="362">
        <v>0</v>
      </c>
      <c r="N86" s="60" t="s">
        <v>1847</v>
      </c>
      <c r="O86" s="362">
        <v>0</v>
      </c>
      <c r="P86" s="60" t="s">
        <v>1856</v>
      </c>
      <c r="Q86" s="362">
        <v>0</v>
      </c>
      <c r="R86" s="60" t="s">
        <v>300</v>
      </c>
      <c r="S86" s="697">
        <v>0</v>
      </c>
      <c r="T86" s="698"/>
      <c r="U86" s="699"/>
      <c r="V86" s="60" t="s">
        <v>304</v>
      </c>
      <c r="W86" s="715">
        <v>0</v>
      </c>
      <c r="X86" s="716"/>
      <c r="Y86" s="717"/>
      <c r="Z86" s="60" t="s">
        <v>309</v>
      </c>
      <c r="AA86" s="370">
        <v>0</v>
      </c>
      <c r="AJ86" s="1" t="s">
        <v>1326</v>
      </c>
    </row>
    <row r="87" spans="1:36" ht="11.25">
      <c r="A87" s="77" t="s">
        <v>52</v>
      </c>
      <c r="B87" s="77"/>
      <c r="C87" s="77"/>
      <c r="D87" s="60" t="s">
        <v>1820</v>
      </c>
      <c r="E87" s="697">
        <v>0</v>
      </c>
      <c r="F87" s="698"/>
      <c r="G87" s="699"/>
      <c r="H87" s="60" t="s">
        <v>1829</v>
      </c>
      <c r="I87" s="697">
        <v>0</v>
      </c>
      <c r="J87" s="698"/>
      <c r="K87" s="699"/>
      <c r="L87" s="60" t="s">
        <v>1839</v>
      </c>
      <c r="M87" s="362">
        <v>0</v>
      </c>
      <c r="N87" s="60" t="s">
        <v>1848</v>
      </c>
      <c r="O87" s="362">
        <v>0</v>
      </c>
      <c r="P87" s="60" t="s">
        <v>1857</v>
      </c>
      <c r="Q87" s="362">
        <v>0</v>
      </c>
      <c r="R87" s="60" t="s">
        <v>301</v>
      </c>
      <c r="S87" s="697">
        <v>0</v>
      </c>
      <c r="T87" s="698"/>
      <c r="U87" s="699"/>
      <c r="V87" s="60" t="s">
        <v>305</v>
      </c>
      <c r="W87" s="715">
        <v>0</v>
      </c>
      <c r="X87" s="716"/>
      <c r="Y87" s="717"/>
      <c r="Z87" s="60" t="s">
        <v>310</v>
      </c>
      <c r="AA87" s="370">
        <v>0</v>
      </c>
      <c r="AJ87" s="1" t="s">
        <v>1327</v>
      </c>
    </row>
    <row r="88" spans="1:36" ht="11.25">
      <c r="A88" s="77" t="s">
        <v>53</v>
      </c>
      <c r="B88" s="77"/>
      <c r="C88" s="77"/>
      <c r="D88" s="60" t="s">
        <v>1821</v>
      </c>
      <c r="E88" s="697">
        <v>0</v>
      </c>
      <c r="F88" s="698"/>
      <c r="G88" s="699"/>
      <c r="H88" s="60" t="s">
        <v>1830</v>
      </c>
      <c r="I88" s="697">
        <v>0</v>
      </c>
      <c r="J88" s="698"/>
      <c r="K88" s="699"/>
      <c r="L88" s="60" t="s">
        <v>1840</v>
      </c>
      <c r="M88" s="362">
        <v>0</v>
      </c>
      <c r="N88" s="60" t="s">
        <v>1849</v>
      </c>
      <c r="O88" s="362">
        <v>0</v>
      </c>
      <c r="P88" s="60" t="s">
        <v>1858</v>
      </c>
      <c r="Q88" s="362">
        <v>0</v>
      </c>
      <c r="R88" s="60" t="s">
        <v>302</v>
      </c>
      <c r="S88" s="697">
        <v>0</v>
      </c>
      <c r="T88" s="698"/>
      <c r="U88" s="699"/>
      <c r="V88" s="60" t="s">
        <v>306</v>
      </c>
      <c r="W88" s="715">
        <v>0</v>
      </c>
      <c r="X88" s="716"/>
      <c r="Y88" s="717"/>
      <c r="Z88" s="60" t="s">
        <v>1872</v>
      </c>
      <c r="AA88" s="370">
        <v>0</v>
      </c>
      <c r="AJ88" s="1" t="s">
        <v>1328</v>
      </c>
    </row>
    <row r="89" spans="1:36" ht="11.25">
      <c r="A89" s="77" t="s">
        <v>54</v>
      </c>
      <c r="B89" s="77"/>
      <c r="C89" s="77"/>
      <c r="D89" s="60" t="s">
        <v>1822</v>
      </c>
      <c r="E89" s="697">
        <v>0</v>
      </c>
      <c r="F89" s="698"/>
      <c r="G89" s="699"/>
      <c r="H89" s="60" t="s">
        <v>1831</v>
      </c>
      <c r="I89" s="697">
        <v>0</v>
      </c>
      <c r="J89" s="698"/>
      <c r="K89" s="699"/>
      <c r="L89" s="60" t="s">
        <v>1841</v>
      </c>
      <c r="M89" s="362">
        <v>0</v>
      </c>
      <c r="N89" s="60" t="s">
        <v>1850</v>
      </c>
      <c r="O89" s="362">
        <v>0</v>
      </c>
      <c r="P89" s="60" t="s">
        <v>1859</v>
      </c>
      <c r="Q89" s="362">
        <v>0</v>
      </c>
      <c r="R89" s="60" t="s">
        <v>1441</v>
      </c>
      <c r="S89" s="697">
        <v>0</v>
      </c>
      <c r="T89" s="698"/>
      <c r="U89" s="699"/>
      <c r="V89" s="60" t="s">
        <v>307</v>
      </c>
      <c r="W89" s="715">
        <v>0</v>
      </c>
      <c r="X89" s="716"/>
      <c r="Y89" s="717"/>
      <c r="Z89" s="60" t="s">
        <v>1873</v>
      </c>
      <c r="AA89" s="370">
        <v>0</v>
      </c>
      <c r="AJ89" s="1" t="s">
        <v>1329</v>
      </c>
    </row>
    <row r="90" spans="1:36" ht="11.25">
      <c r="A90" s="77" t="s">
        <v>71</v>
      </c>
      <c r="B90" s="77"/>
      <c r="C90" s="77"/>
      <c r="D90" s="60" t="s">
        <v>1823</v>
      </c>
      <c r="E90" s="697">
        <v>0</v>
      </c>
      <c r="F90" s="698"/>
      <c r="G90" s="699"/>
      <c r="H90" s="60" t="s">
        <v>1832</v>
      </c>
      <c r="I90" s="697">
        <v>0</v>
      </c>
      <c r="J90" s="698"/>
      <c r="K90" s="699"/>
      <c r="L90" s="60" t="s">
        <v>1842</v>
      </c>
      <c r="M90" s="362">
        <v>0</v>
      </c>
      <c r="N90" s="60" t="s">
        <v>1851</v>
      </c>
      <c r="O90" s="362">
        <v>0</v>
      </c>
      <c r="P90" s="60" t="s">
        <v>1860</v>
      </c>
      <c r="Q90" s="362">
        <v>0</v>
      </c>
      <c r="R90" s="60" t="s">
        <v>1442</v>
      </c>
      <c r="S90" s="697">
        <v>0</v>
      </c>
      <c r="T90" s="698"/>
      <c r="U90" s="699"/>
      <c r="V90" s="60" t="s">
        <v>1447</v>
      </c>
      <c r="W90" s="715">
        <v>0</v>
      </c>
      <c r="X90" s="716"/>
      <c r="Y90" s="717"/>
      <c r="Z90" s="60" t="s">
        <v>1874</v>
      </c>
      <c r="AA90" s="370">
        <v>0</v>
      </c>
      <c r="AJ90" s="1" t="s">
        <v>1330</v>
      </c>
    </row>
    <row r="91" spans="1:36" ht="11.25">
      <c r="A91" s="77" t="s">
        <v>1695</v>
      </c>
      <c r="B91" s="77"/>
      <c r="C91" s="77"/>
      <c r="D91" s="60" t="s">
        <v>1824</v>
      </c>
      <c r="E91" s="697">
        <v>0</v>
      </c>
      <c r="F91" s="698"/>
      <c r="G91" s="699"/>
      <c r="H91" s="60" t="s">
        <v>1833</v>
      </c>
      <c r="I91" s="697">
        <v>0</v>
      </c>
      <c r="J91" s="698"/>
      <c r="K91" s="699"/>
      <c r="L91" s="60" t="s">
        <v>1843</v>
      </c>
      <c r="M91" s="362">
        <v>0</v>
      </c>
      <c r="N91" s="60" t="s">
        <v>1852</v>
      </c>
      <c r="O91" s="362">
        <v>0</v>
      </c>
      <c r="P91" s="60" t="s">
        <v>1861</v>
      </c>
      <c r="Q91" s="362">
        <v>0</v>
      </c>
      <c r="R91" s="60" t="s">
        <v>1865</v>
      </c>
      <c r="S91" s="697">
        <v>0</v>
      </c>
      <c r="T91" s="698"/>
      <c r="U91" s="699"/>
      <c r="V91" s="60" t="s">
        <v>1448</v>
      </c>
      <c r="W91" s="715">
        <v>0</v>
      </c>
      <c r="X91" s="716"/>
      <c r="Y91" s="717"/>
      <c r="Z91" s="60" t="s">
        <v>1875</v>
      </c>
      <c r="AA91" s="370">
        <v>0</v>
      </c>
      <c r="AJ91" s="1" t="s">
        <v>1331</v>
      </c>
    </row>
    <row r="92" spans="1:36" ht="11.25">
      <c r="A92" s="77" t="s">
        <v>1696</v>
      </c>
      <c r="B92" s="77"/>
      <c r="C92" s="77"/>
      <c r="D92" s="60" t="s">
        <v>1825</v>
      </c>
      <c r="E92" s="697">
        <v>0</v>
      </c>
      <c r="F92" s="698"/>
      <c r="G92" s="699"/>
      <c r="H92" s="60" t="s">
        <v>1834</v>
      </c>
      <c r="I92" s="697">
        <v>0</v>
      </c>
      <c r="J92" s="698"/>
      <c r="K92" s="699"/>
      <c r="L92" s="60" t="s">
        <v>1844</v>
      </c>
      <c r="M92" s="362">
        <v>0</v>
      </c>
      <c r="N92" s="60" t="s">
        <v>1853</v>
      </c>
      <c r="O92" s="362">
        <v>0</v>
      </c>
      <c r="P92" s="60" t="s">
        <v>1862</v>
      </c>
      <c r="Q92" s="362">
        <v>0</v>
      </c>
      <c r="R92" s="60" t="s">
        <v>1866</v>
      </c>
      <c r="S92" s="697">
        <v>0</v>
      </c>
      <c r="T92" s="698"/>
      <c r="U92" s="699"/>
      <c r="V92" s="60" t="s">
        <v>1869</v>
      </c>
      <c r="W92" s="715">
        <v>0</v>
      </c>
      <c r="X92" s="716"/>
      <c r="Y92" s="717"/>
      <c r="Z92" s="60" t="s">
        <v>1876</v>
      </c>
      <c r="AA92" s="370">
        <v>0</v>
      </c>
      <c r="AJ92" s="1" t="s">
        <v>1332</v>
      </c>
    </row>
    <row r="93" spans="1:36" ht="11.25">
      <c r="A93" s="77" t="s">
        <v>72</v>
      </c>
      <c r="B93" s="77"/>
      <c r="C93" s="77"/>
      <c r="D93" s="60" t="s">
        <v>1826</v>
      </c>
      <c r="E93" s="694">
        <v>0</v>
      </c>
      <c r="F93" s="695"/>
      <c r="G93" s="696"/>
      <c r="H93" s="60" t="s">
        <v>1835</v>
      </c>
      <c r="I93" s="694">
        <v>0</v>
      </c>
      <c r="J93" s="695"/>
      <c r="K93" s="696"/>
      <c r="L93" s="60" t="s">
        <v>1845</v>
      </c>
      <c r="M93" s="362">
        <v>0</v>
      </c>
      <c r="N93" s="60" t="s">
        <v>1854</v>
      </c>
      <c r="O93" s="362">
        <v>0</v>
      </c>
      <c r="P93" s="60" t="s">
        <v>1863</v>
      </c>
      <c r="Q93" s="362">
        <v>0</v>
      </c>
      <c r="R93" s="60" t="s">
        <v>1867</v>
      </c>
      <c r="S93" s="694">
        <v>0</v>
      </c>
      <c r="T93" s="695"/>
      <c r="U93" s="696"/>
      <c r="V93" s="60" t="s">
        <v>1870</v>
      </c>
      <c r="W93" s="705">
        <v>0</v>
      </c>
      <c r="X93" s="703"/>
      <c r="Y93" s="704"/>
      <c r="Z93" s="60" t="s">
        <v>1877</v>
      </c>
      <c r="AA93" s="370">
        <v>0</v>
      </c>
      <c r="AJ93" s="1" t="s">
        <v>1333</v>
      </c>
    </row>
    <row r="94" spans="1:36" ht="11.25">
      <c r="A94" s="156" t="s">
        <v>48</v>
      </c>
      <c r="B94" s="70"/>
      <c r="C94" s="87"/>
      <c r="D94" s="66" t="s">
        <v>1827</v>
      </c>
      <c r="E94" s="700"/>
      <c r="F94" s="701"/>
      <c r="G94" s="702"/>
      <c r="H94" s="66" t="s">
        <v>1836</v>
      </c>
      <c r="I94" s="700">
        <v>0</v>
      </c>
      <c r="J94" s="701"/>
      <c r="K94" s="702"/>
      <c r="L94" s="66" t="s">
        <v>1846</v>
      </c>
      <c r="M94" s="326">
        <v>0</v>
      </c>
      <c r="N94" s="66" t="s">
        <v>1855</v>
      </c>
      <c r="O94" s="326">
        <v>0</v>
      </c>
      <c r="P94" s="66" t="s">
        <v>1864</v>
      </c>
      <c r="Q94" s="326">
        <v>0</v>
      </c>
      <c r="R94" s="66" t="s">
        <v>1868</v>
      </c>
      <c r="S94" s="700">
        <v>0</v>
      </c>
      <c r="T94" s="701"/>
      <c r="U94" s="702"/>
      <c r="V94" s="66" t="s">
        <v>1871</v>
      </c>
      <c r="W94" s="700">
        <v>0</v>
      </c>
      <c r="X94" s="701"/>
      <c r="Y94" s="702"/>
      <c r="Z94" s="66" t="s">
        <v>1878</v>
      </c>
      <c r="AA94" s="371">
        <v>0</v>
      </c>
      <c r="AB94" s="92"/>
      <c r="AC94" s="360"/>
      <c r="AD94" s="249"/>
      <c r="AE94" s="174"/>
      <c r="AF94" s="174"/>
      <c r="AG94" s="174"/>
      <c r="AJ94" s="1" t="s">
        <v>1334</v>
      </c>
    </row>
    <row r="95" spans="1:36" ht="11.25">
      <c r="A95" s="829" t="s">
        <v>129</v>
      </c>
      <c r="B95" s="830"/>
      <c r="C95" s="830"/>
      <c r="D95" s="830"/>
      <c r="E95" s="830"/>
      <c r="F95" s="830"/>
      <c r="G95" s="830"/>
      <c r="H95" s="830"/>
      <c r="I95" s="830"/>
      <c r="J95" s="830"/>
      <c r="K95" s="830"/>
      <c r="L95" s="830"/>
      <c r="M95" s="830"/>
      <c r="N95" s="830"/>
      <c r="O95" s="830"/>
      <c r="P95" s="830"/>
      <c r="Q95" s="830"/>
      <c r="R95" s="830"/>
      <c r="S95" s="830"/>
      <c r="T95" s="830"/>
      <c r="U95" s="830"/>
      <c r="V95" s="830"/>
      <c r="W95" s="830"/>
      <c r="X95" s="830"/>
      <c r="Y95" s="830"/>
      <c r="Z95" s="830"/>
      <c r="AA95" s="831"/>
      <c r="AJ95" s="1" t="s">
        <v>1335</v>
      </c>
    </row>
    <row r="96" spans="1:36" ht="11.25">
      <c r="A96" s="832"/>
      <c r="B96" s="833"/>
      <c r="C96" s="833"/>
      <c r="D96" s="833"/>
      <c r="E96" s="833"/>
      <c r="F96" s="833"/>
      <c r="G96" s="833"/>
      <c r="H96" s="833"/>
      <c r="I96" s="833"/>
      <c r="J96" s="833"/>
      <c r="K96" s="833"/>
      <c r="L96" s="833"/>
      <c r="M96" s="833"/>
      <c r="N96" s="833"/>
      <c r="O96" s="833"/>
      <c r="P96" s="833"/>
      <c r="Q96" s="833"/>
      <c r="R96" s="833"/>
      <c r="S96" s="833"/>
      <c r="T96" s="833"/>
      <c r="U96" s="833"/>
      <c r="V96" s="833"/>
      <c r="W96" s="833"/>
      <c r="X96" s="833"/>
      <c r="Y96" s="833"/>
      <c r="Z96" s="833"/>
      <c r="AA96" s="834"/>
      <c r="AJ96" s="1" t="s">
        <v>1336</v>
      </c>
    </row>
    <row r="97" spans="1:36" ht="11.25">
      <c r="A97" s="567" t="s">
        <v>958</v>
      </c>
      <c r="B97" s="218"/>
      <c r="C97" s="218"/>
      <c r="D97" s="218"/>
      <c r="E97" s="218"/>
      <c r="F97" s="218"/>
      <c r="G97" s="218"/>
      <c r="H97" s="218"/>
      <c r="I97" s="218"/>
      <c r="J97" s="218"/>
      <c r="K97" s="218"/>
      <c r="L97" s="218"/>
      <c r="M97" s="218"/>
      <c r="N97" s="218"/>
      <c r="O97" s="218"/>
      <c r="P97" s="218"/>
      <c r="Q97" s="218"/>
      <c r="R97" s="218"/>
      <c r="S97" s="218"/>
      <c r="T97" s="218"/>
      <c r="U97" s="572"/>
      <c r="V97" s="572"/>
      <c r="W97" s="572"/>
      <c r="X97" s="572"/>
      <c r="Y97" s="572"/>
      <c r="Z97" s="572"/>
      <c r="AA97" s="219"/>
      <c r="AJ97" s="1" t="s">
        <v>1337</v>
      </c>
    </row>
    <row r="98" spans="1:36" ht="11.25">
      <c r="A98" s="575"/>
      <c r="B98" s="218"/>
      <c r="C98" s="218"/>
      <c r="D98" s="218"/>
      <c r="E98" s="218"/>
      <c r="F98" s="218"/>
      <c r="G98" s="218"/>
      <c r="H98" s="218"/>
      <c r="I98" s="218"/>
      <c r="J98" s="218"/>
      <c r="K98" s="218"/>
      <c r="L98" s="573"/>
      <c r="M98" s="218"/>
      <c r="N98" s="218"/>
      <c r="O98" s="218"/>
      <c r="P98" s="218"/>
      <c r="Q98" s="218"/>
      <c r="R98" s="218"/>
      <c r="S98" s="218"/>
      <c r="T98" s="218"/>
      <c r="U98" s="572"/>
      <c r="V98" s="572"/>
      <c r="W98" s="572"/>
      <c r="X98" s="572"/>
      <c r="Y98" s="572"/>
      <c r="Z98" s="572"/>
      <c r="AA98" s="219"/>
      <c r="AJ98" s="1" t="s">
        <v>1338</v>
      </c>
    </row>
    <row r="99" spans="1:36" ht="11.25">
      <c r="A99" s="575"/>
      <c r="B99" s="218"/>
      <c r="C99" s="218"/>
      <c r="D99" s="218"/>
      <c r="E99" s="218"/>
      <c r="F99" s="218"/>
      <c r="G99" s="218"/>
      <c r="H99" s="218"/>
      <c r="I99" s="218"/>
      <c r="J99" s="218"/>
      <c r="K99" s="218"/>
      <c r="L99" s="218"/>
      <c r="M99" s="218"/>
      <c r="N99" s="218"/>
      <c r="O99" s="218"/>
      <c r="P99" s="218"/>
      <c r="Q99" s="218"/>
      <c r="R99" s="218"/>
      <c r="S99" s="218"/>
      <c r="T99" s="218"/>
      <c r="U99" s="572"/>
      <c r="V99" s="572"/>
      <c r="W99" s="572"/>
      <c r="X99" s="572"/>
      <c r="Y99" s="572"/>
      <c r="Z99" s="572"/>
      <c r="AA99" s="219"/>
      <c r="AJ99" s="1" t="s">
        <v>1339</v>
      </c>
    </row>
    <row r="100" spans="1:36" ht="11.25">
      <c r="A100" s="567"/>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9"/>
      <c r="AJ100" s="1" t="s">
        <v>1340</v>
      </c>
    </row>
    <row r="101" spans="1:36" ht="11.25">
      <c r="A101" s="563"/>
      <c r="B101" s="270"/>
      <c r="C101" s="270"/>
      <c r="D101" s="270"/>
      <c r="E101" s="270"/>
      <c r="F101" s="270"/>
      <c r="G101" s="270"/>
      <c r="H101" s="270"/>
      <c r="I101" s="270"/>
      <c r="J101" s="270"/>
      <c r="K101" s="270"/>
      <c r="L101" s="270"/>
      <c r="M101" s="270"/>
      <c r="N101" s="270"/>
      <c r="O101" s="270"/>
      <c r="P101" s="270"/>
      <c r="Q101" s="270"/>
      <c r="R101" s="270"/>
      <c r="S101" s="270"/>
      <c r="T101" s="270"/>
      <c r="U101" s="307"/>
      <c r="V101" s="307"/>
      <c r="W101" s="307"/>
      <c r="X101" s="307"/>
      <c r="Y101" s="307"/>
      <c r="Z101" s="307"/>
      <c r="AA101" s="271"/>
      <c r="AJ101" s="1" t="s">
        <v>1341</v>
      </c>
    </row>
    <row r="102" spans="1:36" ht="11.25">
      <c r="A102" s="53" t="s">
        <v>1655</v>
      </c>
      <c r="B102" s="855" t="s">
        <v>1506</v>
      </c>
      <c r="C102" s="843"/>
      <c r="D102" s="843"/>
      <c r="E102" s="843"/>
      <c r="F102" s="843"/>
      <c r="G102" s="843"/>
      <c r="H102" s="843"/>
      <c r="I102" s="843"/>
      <c r="J102" s="843"/>
      <c r="K102" s="856"/>
      <c r="L102" s="855" t="s">
        <v>1507</v>
      </c>
      <c r="M102" s="843"/>
      <c r="N102" s="843"/>
      <c r="O102" s="843"/>
      <c r="P102" s="843"/>
      <c r="Q102" s="843"/>
      <c r="R102" s="843"/>
      <c r="S102" s="856"/>
      <c r="T102" s="855" t="s">
        <v>1193</v>
      </c>
      <c r="U102" s="843"/>
      <c r="V102" s="843"/>
      <c r="W102" s="843"/>
      <c r="X102" s="843"/>
      <c r="Y102" s="843"/>
      <c r="Z102" s="843"/>
      <c r="AA102" s="856"/>
      <c r="AJ102" s="1" t="s">
        <v>1342</v>
      </c>
    </row>
    <row r="103" spans="1:36" ht="11.25">
      <c r="A103" s="169" t="s">
        <v>1645</v>
      </c>
      <c r="B103" s="816" t="s">
        <v>1646</v>
      </c>
      <c r="C103" s="814"/>
      <c r="D103" s="795" t="s">
        <v>1647</v>
      </c>
      <c r="E103" s="814"/>
      <c r="F103" s="814" t="s">
        <v>1648</v>
      </c>
      <c r="G103" s="814"/>
      <c r="H103" s="77"/>
      <c r="I103" s="814" t="s">
        <v>1649</v>
      </c>
      <c r="J103" s="814"/>
      <c r="K103" s="844"/>
      <c r="L103" s="836" t="s">
        <v>1646</v>
      </c>
      <c r="M103" s="814"/>
      <c r="N103" s="814" t="s">
        <v>1647</v>
      </c>
      <c r="O103" s="814"/>
      <c r="P103" s="814" t="s">
        <v>1648</v>
      </c>
      <c r="Q103" s="814"/>
      <c r="R103" s="814" t="s">
        <v>1649</v>
      </c>
      <c r="S103" s="814"/>
      <c r="T103" s="836" t="s">
        <v>1646</v>
      </c>
      <c r="U103" s="814"/>
      <c r="V103" s="814" t="s">
        <v>1647</v>
      </c>
      <c r="W103" s="814"/>
      <c r="X103" s="814" t="s">
        <v>1648</v>
      </c>
      <c r="Y103" s="814"/>
      <c r="Z103" s="814" t="s">
        <v>1649</v>
      </c>
      <c r="AA103" s="844"/>
      <c r="AB103" s="93"/>
      <c r="AJ103" s="1" t="s">
        <v>1343</v>
      </c>
    </row>
    <row r="104" spans="1:36" ht="11.25">
      <c r="A104" s="223" t="s">
        <v>2014</v>
      </c>
      <c r="B104" s="475" t="s">
        <v>237</v>
      </c>
      <c r="C104" s="645"/>
      <c r="D104" s="68" t="s">
        <v>1895</v>
      </c>
      <c r="E104" s="391"/>
      <c r="F104" s="68" t="s">
        <v>1917</v>
      </c>
      <c r="G104" s="392"/>
      <c r="H104" s="68" t="s">
        <v>1934</v>
      </c>
      <c r="I104" s="850"/>
      <c r="J104" s="850"/>
      <c r="K104" s="850"/>
      <c r="L104" s="68" t="s">
        <v>1943</v>
      </c>
      <c r="M104" s="392"/>
      <c r="N104" s="68" t="s">
        <v>1962</v>
      </c>
      <c r="O104" s="392"/>
      <c r="P104" s="68" t="s">
        <v>1978</v>
      </c>
      <c r="Q104" s="392"/>
      <c r="R104" s="68" t="s">
        <v>1996</v>
      </c>
      <c r="S104" s="392"/>
      <c r="T104" s="68" t="s">
        <v>1194</v>
      </c>
      <c r="U104" s="392"/>
      <c r="V104" s="68" t="s">
        <v>1212</v>
      </c>
      <c r="W104" s="392"/>
      <c r="X104" s="68" t="s">
        <v>2332</v>
      </c>
      <c r="Y104" s="392"/>
      <c r="Z104" s="68" t="s">
        <v>2350</v>
      </c>
      <c r="AA104" s="393"/>
      <c r="AJ104" s="1" t="s">
        <v>1344</v>
      </c>
    </row>
    <row r="105" spans="1:36" ht="11.25">
      <c r="A105" s="223" t="s">
        <v>1017</v>
      </c>
      <c r="B105" s="286" t="s">
        <v>238</v>
      </c>
      <c r="C105" s="646"/>
      <c r="D105" s="60" t="s">
        <v>1896</v>
      </c>
      <c r="E105" s="647"/>
      <c r="F105" s="60" t="s">
        <v>1918</v>
      </c>
      <c r="G105" s="478"/>
      <c r="H105" s="60" t="s">
        <v>1935</v>
      </c>
      <c r="I105" s="815"/>
      <c r="J105" s="815"/>
      <c r="K105" s="815"/>
      <c r="L105" s="60" t="s">
        <v>1944</v>
      </c>
      <c r="M105" s="478"/>
      <c r="N105" s="60" t="s">
        <v>1963</v>
      </c>
      <c r="O105" s="478"/>
      <c r="P105" s="60" t="s">
        <v>1979</v>
      </c>
      <c r="Q105" s="478"/>
      <c r="R105" s="60" t="s">
        <v>1997</v>
      </c>
      <c r="S105" s="478"/>
      <c r="T105" s="60" t="s">
        <v>1197</v>
      </c>
      <c r="U105" s="478"/>
      <c r="V105" s="60" t="s">
        <v>1213</v>
      </c>
      <c r="W105" s="478"/>
      <c r="X105" s="60" t="s">
        <v>2333</v>
      </c>
      <c r="Y105" s="478"/>
      <c r="Z105" s="60" t="s">
        <v>2351</v>
      </c>
      <c r="AA105" s="648"/>
      <c r="AJ105" s="1" t="s">
        <v>1345</v>
      </c>
    </row>
    <row r="106" spans="1:36" ht="11.25">
      <c r="A106" s="223" t="s">
        <v>2384</v>
      </c>
      <c r="B106" s="286" t="s">
        <v>239</v>
      </c>
      <c r="C106" s="646"/>
      <c r="D106" s="60" t="s">
        <v>1897</v>
      </c>
      <c r="E106" s="647"/>
      <c r="F106" s="60" t="s">
        <v>1919</v>
      </c>
      <c r="G106" s="478"/>
      <c r="H106" s="60" t="s">
        <v>1936</v>
      </c>
      <c r="I106" s="815"/>
      <c r="J106" s="815"/>
      <c r="K106" s="815"/>
      <c r="L106" s="60" t="s">
        <v>1945</v>
      </c>
      <c r="M106" s="478"/>
      <c r="N106" s="60" t="s">
        <v>1964</v>
      </c>
      <c r="O106" s="478"/>
      <c r="P106" s="60" t="s">
        <v>1980</v>
      </c>
      <c r="Q106" s="478"/>
      <c r="R106" s="60" t="s">
        <v>1998</v>
      </c>
      <c r="S106" s="478"/>
      <c r="T106" s="60" t="s">
        <v>1198</v>
      </c>
      <c r="U106" s="478"/>
      <c r="V106" s="60" t="s">
        <v>1214</v>
      </c>
      <c r="W106" s="478"/>
      <c r="X106" s="60" t="s">
        <v>2334</v>
      </c>
      <c r="Y106" s="478"/>
      <c r="Z106" s="60" t="s">
        <v>2352</v>
      </c>
      <c r="AA106" s="648"/>
      <c r="AJ106" s="1" t="s">
        <v>1346</v>
      </c>
    </row>
    <row r="107" spans="1:36" ht="11.25">
      <c r="A107" s="223" t="s">
        <v>1018</v>
      </c>
      <c r="B107" s="286" t="s">
        <v>1879</v>
      </c>
      <c r="C107" s="646"/>
      <c r="D107" s="60" t="s">
        <v>1898</v>
      </c>
      <c r="E107" s="647"/>
      <c r="F107" s="60" t="s">
        <v>1920</v>
      </c>
      <c r="G107" s="478"/>
      <c r="H107" s="60" t="s">
        <v>1937</v>
      </c>
      <c r="I107" s="815"/>
      <c r="J107" s="815"/>
      <c r="K107" s="815"/>
      <c r="L107" s="60" t="s">
        <v>1946</v>
      </c>
      <c r="M107" s="478"/>
      <c r="N107" s="60" t="s">
        <v>1965</v>
      </c>
      <c r="O107" s="478"/>
      <c r="P107" s="60" t="s">
        <v>1981</v>
      </c>
      <c r="Q107" s="478"/>
      <c r="R107" s="60" t="s">
        <v>1999</v>
      </c>
      <c r="S107" s="478"/>
      <c r="T107" s="60" t="s">
        <v>1199</v>
      </c>
      <c r="U107" s="478"/>
      <c r="V107" s="60" t="s">
        <v>1215</v>
      </c>
      <c r="W107" s="478"/>
      <c r="X107" s="60" t="s">
        <v>2335</v>
      </c>
      <c r="Y107" s="478"/>
      <c r="Z107" s="60" t="s">
        <v>2353</v>
      </c>
      <c r="AA107" s="648"/>
      <c r="AJ107" s="1" t="s">
        <v>1347</v>
      </c>
    </row>
    <row r="108" spans="1:36" ht="11.25">
      <c r="A108" s="223" t="s">
        <v>461</v>
      </c>
      <c r="B108" s="286" t="s">
        <v>1881</v>
      </c>
      <c r="C108" s="646"/>
      <c r="D108" s="60" t="s">
        <v>1899</v>
      </c>
      <c r="E108" s="647"/>
      <c r="F108" s="60" t="s">
        <v>1921</v>
      </c>
      <c r="G108" s="478"/>
      <c r="H108" s="60" t="s">
        <v>1938</v>
      </c>
      <c r="I108" s="815"/>
      <c r="J108" s="815"/>
      <c r="K108" s="815"/>
      <c r="L108" s="60" t="s">
        <v>1947</v>
      </c>
      <c r="M108" s="478"/>
      <c r="N108" s="60" t="s">
        <v>1966</v>
      </c>
      <c r="O108" s="478"/>
      <c r="P108" s="60" t="s">
        <v>1982</v>
      </c>
      <c r="Q108" s="478"/>
      <c r="R108" s="60" t="s">
        <v>2000</v>
      </c>
      <c r="S108" s="478"/>
      <c r="T108" s="60" t="s">
        <v>1200</v>
      </c>
      <c r="U108" s="478"/>
      <c r="V108" s="60" t="s">
        <v>1216</v>
      </c>
      <c r="W108" s="478"/>
      <c r="X108" s="60" t="s">
        <v>2336</v>
      </c>
      <c r="Y108" s="478"/>
      <c r="Z108" s="60" t="s">
        <v>2354</v>
      </c>
      <c r="AA108" s="648"/>
      <c r="AJ108" s="1" t="s">
        <v>1348</v>
      </c>
    </row>
    <row r="109" spans="1:36" ht="11.25">
      <c r="A109" s="223" t="s">
        <v>2440</v>
      </c>
      <c r="B109" s="286" t="s">
        <v>1882</v>
      </c>
      <c r="C109" s="646"/>
      <c r="D109" s="60" t="s">
        <v>1900</v>
      </c>
      <c r="E109" s="647"/>
      <c r="F109" s="60" t="s">
        <v>1922</v>
      </c>
      <c r="G109" s="478"/>
      <c r="H109" s="60" t="s">
        <v>1939</v>
      </c>
      <c r="I109" s="815"/>
      <c r="J109" s="815"/>
      <c r="K109" s="815"/>
      <c r="L109" s="60" t="s">
        <v>1948</v>
      </c>
      <c r="M109" s="478"/>
      <c r="N109" s="60" t="s">
        <v>1961</v>
      </c>
      <c r="O109" s="478"/>
      <c r="P109" s="60" t="s">
        <v>1983</v>
      </c>
      <c r="Q109" s="478"/>
      <c r="R109" s="60" t="s">
        <v>2001</v>
      </c>
      <c r="S109" s="478"/>
      <c r="T109" s="60" t="s">
        <v>1201</v>
      </c>
      <c r="U109" s="478"/>
      <c r="V109" s="60" t="s">
        <v>1217</v>
      </c>
      <c r="W109" s="478"/>
      <c r="X109" s="60" t="s">
        <v>2337</v>
      </c>
      <c r="Y109" s="478"/>
      <c r="Z109" s="60" t="s">
        <v>2355</v>
      </c>
      <c r="AA109" s="648"/>
      <c r="AJ109" s="1" t="s">
        <v>1349</v>
      </c>
    </row>
    <row r="110" spans="1:36" ht="11.25">
      <c r="A110" s="223" t="s">
        <v>2441</v>
      </c>
      <c r="B110" s="286" t="s">
        <v>1883</v>
      </c>
      <c r="C110" s="646"/>
      <c r="D110" s="60" t="s">
        <v>1901</v>
      </c>
      <c r="E110" s="647"/>
      <c r="F110" s="60" t="s">
        <v>1923</v>
      </c>
      <c r="G110" s="478"/>
      <c r="H110" s="60" t="s">
        <v>311</v>
      </c>
      <c r="I110" s="815"/>
      <c r="J110" s="815"/>
      <c r="K110" s="815"/>
      <c r="L110" s="60" t="s">
        <v>1949</v>
      </c>
      <c r="M110" s="478"/>
      <c r="N110" s="60" t="s">
        <v>1967</v>
      </c>
      <c r="O110" s="478"/>
      <c r="P110" s="60" t="s">
        <v>1984</v>
      </c>
      <c r="Q110" s="478"/>
      <c r="R110" s="60" t="s">
        <v>2002</v>
      </c>
      <c r="S110" s="478"/>
      <c r="T110" s="60" t="s">
        <v>1137</v>
      </c>
      <c r="U110" s="478"/>
      <c r="V110" s="60" t="s">
        <v>2320</v>
      </c>
      <c r="W110" s="478"/>
      <c r="X110" s="60" t="s">
        <v>2338</v>
      </c>
      <c r="Y110" s="478"/>
      <c r="Z110" s="60" t="s">
        <v>2356</v>
      </c>
      <c r="AA110" s="648"/>
      <c r="AJ110" s="1" t="s">
        <v>1350</v>
      </c>
    </row>
    <row r="111" spans="1:36" ht="11.25">
      <c r="A111" s="223" t="s">
        <v>2442</v>
      </c>
      <c r="B111" s="286" t="s">
        <v>1884</v>
      </c>
      <c r="C111" s="646"/>
      <c r="D111" s="60" t="s">
        <v>1902</v>
      </c>
      <c r="E111" s="647"/>
      <c r="F111" s="60" t="s">
        <v>1924</v>
      </c>
      <c r="G111" s="478"/>
      <c r="H111" s="60" t="s">
        <v>312</v>
      </c>
      <c r="I111" s="815"/>
      <c r="J111" s="815"/>
      <c r="K111" s="815"/>
      <c r="L111" s="60" t="s">
        <v>1950</v>
      </c>
      <c r="M111" s="478"/>
      <c r="N111" s="60" t="s">
        <v>1968</v>
      </c>
      <c r="O111" s="478"/>
      <c r="P111" s="60" t="s">
        <v>1985</v>
      </c>
      <c r="Q111" s="478"/>
      <c r="R111" s="60" t="s">
        <v>2003</v>
      </c>
      <c r="S111" s="478"/>
      <c r="T111" s="60" t="s">
        <v>1202</v>
      </c>
      <c r="U111" s="478"/>
      <c r="V111" s="60" t="s">
        <v>2321</v>
      </c>
      <c r="W111" s="478"/>
      <c r="X111" s="60" t="s">
        <v>2339</v>
      </c>
      <c r="Y111" s="478"/>
      <c r="Z111" s="60" t="s">
        <v>2357</v>
      </c>
      <c r="AA111" s="648"/>
      <c r="AJ111" s="1" t="s">
        <v>1351</v>
      </c>
    </row>
    <row r="112" spans="1:36" ht="11.25">
      <c r="A112" s="223" t="s">
        <v>2443</v>
      </c>
      <c r="B112" s="286" t="s">
        <v>1885</v>
      </c>
      <c r="C112" s="646"/>
      <c r="D112" s="60" t="s">
        <v>1903</v>
      </c>
      <c r="E112" s="647"/>
      <c r="F112" s="60" t="s">
        <v>1925</v>
      </c>
      <c r="G112" s="478"/>
      <c r="H112" s="60" t="s">
        <v>313</v>
      </c>
      <c r="I112" s="815"/>
      <c r="J112" s="815"/>
      <c r="K112" s="815"/>
      <c r="L112" s="60" t="s">
        <v>1951</v>
      </c>
      <c r="M112" s="478"/>
      <c r="N112" s="60" t="s">
        <v>1969</v>
      </c>
      <c r="O112" s="478"/>
      <c r="P112" s="60" t="s">
        <v>1986</v>
      </c>
      <c r="Q112" s="478"/>
      <c r="R112" s="60" t="s">
        <v>2004</v>
      </c>
      <c r="S112" s="478"/>
      <c r="T112" s="60" t="s">
        <v>1203</v>
      </c>
      <c r="U112" s="478"/>
      <c r="V112" s="60" t="s">
        <v>2322</v>
      </c>
      <c r="W112" s="478"/>
      <c r="X112" s="60" t="s">
        <v>2340</v>
      </c>
      <c r="Y112" s="478"/>
      <c r="Z112" s="60" t="s">
        <v>2358</v>
      </c>
      <c r="AA112" s="648"/>
      <c r="AJ112" s="1" t="s">
        <v>1352</v>
      </c>
    </row>
    <row r="113" spans="1:36" ht="11.25">
      <c r="A113" s="223" t="s">
        <v>2444</v>
      </c>
      <c r="B113" s="286" t="s">
        <v>1886</v>
      </c>
      <c r="C113" s="646"/>
      <c r="D113" s="60" t="s">
        <v>1904</v>
      </c>
      <c r="E113" s="647"/>
      <c r="F113" s="60" t="s">
        <v>1926</v>
      </c>
      <c r="G113" s="478"/>
      <c r="H113" s="60" t="s">
        <v>314</v>
      </c>
      <c r="I113" s="815"/>
      <c r="J113" s="815"/>
      <c r="K113" s="815"/>
      <c r="L113" s="60" t="s">
        <v>1952</v>
      </c>
      <c r="M113" s="478"/>
      <c r="N113" s="60" t="s">
        <v>1970</v>
      </c>
      <c r="O113" s="478"/>
      <c r="P113" s="60" t="s">
        <v>1987</v>
      </c>
      <c r="Q113" s="478"/>
      <c r="R113" s="60" t="s">
        <v>2005</v>
      </c>
      <c r="S113" s="478"/>
      <c r="T113" s="60" t="s">
        <v>1204</v>
      </c>
      <c r="U113" s="478"/>
      <c r="V113" s="60" t="s">
        <v>2323</v>
      </c>
      <c r="W113" s="478"/>
      <c r="X113" s="60" t="s">
        <v>2341</v>
      </c>
      <c r="Y113" s="478"/>
      <c r="Z113" s="60" t="s">
        <v>2359</v>
      </c>
      <c r="AA113" s="648"/>
      <c r="AJ113" s="1" t="s">
        <v>1353</v>
      </c>
    </row>
    <row r="114" spans="1:36" ht="11.25">
      <c r="A114" s="77" t="s">
        <v>462</v>
      </c>
      <c r="B114" s="286" t="s">
        <v>1887</v>
      </c>
      <c r="C114" s="646"/>
      <c r="D114" s="60" t="s">
        <v>1905</v>
      </c>
      <c r="E114" s="647"/>
      <c r="F114" s="60" t="s">
        <v>1927</v>
      </c>
      <c r="G114" s="478"/>
      <c r="H114" s="60" t="s">
        <v>315</v>
      </c>
      <c r="I114" s="815"/>
      <c r="J114" s="815"/>
      <c r="K114" s="815"/>
      <c r="L114" s="60" t="s">
        <v>1953</v>
      </c>
      <c r="M114" s="478"/>
      <c r="N114" s="60" t="s">
        <v>1611</v>
      </c>
      <c r="O114" s="478"/>
      <c r="P114" s="60" t="s">
        <v>1988</v>
      </c>
      <c r="Q114" s="478"/>
      <c r="R114" s="60" t="s">
        <v>2006</v>
      </c>
      <c r="S114" s="478"/>
      <c r="T114" s="60" t="s">
        <v>1205</v>
      </c>
      <c r="U114" s="478"/>
      <c r="V114" s="60" t="s">
        <v>2324</v>
      </c>
      <c r="W114" s="478"/>
      <c r="X114" s="60" t="s">
        <v>2342</v>
      </c>
      <c r="Y114" s="478"/>
      <c r="Z114" s="60" t="s">
        <v>2360</v>
      </c>
      <c r="AA114" s="648"/>
      <c r="AJ114" s="1" t="s">
        <v>1354</v>
      </c>
    </row>
    <row r="115" spans="1:36" ht="11.25">
      <c r="A115" s="77" t="s">
        <v>82</v>
      </c>
      <c r="B115" s="286" t="s">
        <v>1888</v>
      </c>
      <c r="C115" s="646">
        <v>13.14</v>
      </c>
      <c r="D115" s="60" t="s">
        <v>1906</v>
      </c>
      <c r="E115" s="647">
        <v>3.15</v>
      </c>
      <c r="F115" s="60" t="s">
        <v>1928</v>
      </c>
      <c r="G115" s="478">
        <v>0</v>
      </c>
      <c r="H115" s="60" t="s">
        <v>316</v>
      </c>
      <c r="I115" s="815">
        <v>1.23</v>
      </c>
      <c r="J115" s="815"/>
      <c r="K115" s="815"/>
      <c r="L115" s="60" t="s">
        <v>1954</v>
      </c>
      <c r="M115" s="478">
        <v>978</v>
      </c>
      <c r="N115" s="60" t="s">
        <v>1971</v>
      </c>
      <c r="O115" s="478">
        <v>106</v>
      </c>
      <c r="P115" s="60" t="s">
        <v>1989</v>
      </c>
      <c r="Q115" s="478">
        <v>67</v>
      </c>
      <c r="R115" s="60" t="s">
        <v>2007</v>
      </c>
      <c r="S115" s="478">
        <v>86</v>
      </c>
      <c r="T115" s="60" t="s">
        <v>1206</v>
      </c>
      <c r="U115" s="478"/>
      <c r="V115" s="60" t="s">
        <v>2325</v>
      </c>
      <c r="W115" s="478"/>
      <c r="X115" s="60" t="s">
        <v>2343</v>
      </c>
      <c r="Y115" s="478"/>
      <c r="Z115" s="60" t="s">
        <v>2361</v>
      </c>
      <c r="AA115" s="648"/>
      <c r="AJ115" s="1" t="s">
        <v>1355</v>
      </c>
    </row>
    <row r="116" spans="1:36" ht="11.25">
      <c r="A116" s="77" t="s">
        <v>83</v>
      </c>
      <c r="B116" s="286" t="s">
        <v>1889</v>
      </c>
      <c r="C116" s="646"/>
      <c r="D116" s="60" t="s">
        <v>1907</v>
      </c>
      <c r="E116" s="647"/>
      <c r="F116" s="60" t="s">
        <v>1929</v>
      </c>
      <c r="G116" s="478"/>
      <c r="H116" s="60" t="s">
        <v>1685</v>
      </c>
      <c r="I116" s="815"/>
      <c r="J116" s="815"/>
      <c r="K116" s="815"/>
      <c r="L116" s="60" t="s">
        <v>1955</v>
      </c>
      <c r="M116" s="478"/>
      <c r="N116" s="60" t="s">
        <v>1972</v>
      </c>
      <c r="O116" s="478"/>
      <c r="P116" s="60" t="s">
        <v>1990</v>
      </c>
      <c r="Q116" s="478"/>
      <c r="R116" s="60" t="s">
        <v>2008</v>
      </c>
      <c r="S116" s="478"/>
      <c r="T116" s="60" t="s">
        <v>1207</v>
      </c>
      <c r="U116" s="478"/>
      <c r="V116" s="60" t="s">
        <v>2326</v>
      </c>
      <c r="W116" s="478"/>
      <c r="X116" s="60" t="s">
        <v>2344</v>
      </c>
      <c r="Y116" s="478"/>
      <c r="Z116" s="60" t="s">
        <v>2362</v>
      </c>
      <c r="AA116" s="648"/>
      <c r="AJ116" s="1" t="s">
        <v>1356</v>
      </c>
    </row>
    <row r="117" spans="1:36" ht="11.25">
      <c r="A117" s="77" t="s">
        <v>1664</v>
      </c>
      <c r="B117" s="286" t="s">
        <v>1890</v>
      </c>
      <c r="C117" s="646"/>
      <c r="D117" s="60" t="s">
        <v>1908</v>
      </c>
      <c r="E117" s="647"/>
      <c r="F117" s="60" t="s">
        <v>1930</v>
      </c>
      <c r="G117" s="478"/>
      <c r="H117" s="60" t="s">
        <v>1687</v>
      </c>
      <c r="I117" s="815"/>
      <c r="J117" s="815"/>
      <c r="K117" s="815"/>
      <c r="L117" s="60" t="s">
        <v>1956</v>
      </c>
      <c r="M117" s="478"/>
      <c r="N117" s="60" t="s">
        <v>1973</v>
      </c>
      <c r="O117" s="478"/>
      <c r="P117" s="60" t="s">
        <v>1991</v>
      </c>
      <c r="Q117" s="478"/>
      <c r="R117" s="60" t="s">
        <v>2009</v>
      </c>
      <c r="S117" s="478"/>
      <c r="T117" s="60" t="s">
        <v>1208</v>
      </c>
      <c r="U117" s="478"/>
      <c r="V117" s="60" t="s">
        <v>2327</v>
      </c>
      <c r="W117" s="478"/>
      <c r="X117" s="60" t="s">
        <v>2345</v>
      </c>
      <c r="Y117" s="478"/>
      <c r="Z117" s="60" t="s">
        <v>2363</v>
      </c>
      <c r="AA117" s="648"/>
      <c r="AJ117" s="1" t="s">
        <v>1357</v>
      </c>
    </row>
    <row r="118" spans="1:36" ht="11.25">
      <c r="A118" s="77" t="s">
        <v>463</v>
      </c>
      <c r="B118" s="286" t="s">
        <v>1891</v>
      </c>
      <c r="C118" s="646"/>
      <c r="D118" s="60" t="s">
        <v>1909</v>
      </c>
      <c r="E118" s="647"/>
      <c r="F118" s="60" t="s">
        <v>1136</v>
      </c>
      <c r="G118" s="478"/>
      <c r="H118" s="60" t="s">
        <v>1940</v>
      </c>
      <c r="I118" s="815"/>
      <c r="J118" s="815"/>
      <c r="K118" s="815"/>
      <c r="L118" s="60" t="s">
        <v>1957</v>
      </c>
      <c r="M118" s="478"/>
      <c r="N118" s="60" t="s">
        <v>1974</v>
      </c>
      <c r="O118" s="478"/>
      <c r="P118" s="60" t="s">
        <v>1992</v>
      </c>
      <c r="Q118" s="478"/>
      <c r="R118" s="60" t="s">
        <v>2010</v>
      </c>
      <c r="S118" s="478"/>
      <c r="T118" s="60" t="s">
        <v>1209</v>
      </c>
      <c r="U118" s="478"/>
      <c r="V118" s="60" t="s">
        <v>2328</v>
      </c>
      <c r="W118" s="478"/>
      <c r="X118" s="60" t="s">
        <v>2346</v>
      </c>
      <c r="Y118" s="478"/>
      <c r="Z118" s="60" t="s">
        <v>2364</v>
      </c>
      <c r="AA118" s="648"/>
      <c r="AJ118" s="1" t="s">
        <v>1358</v>
      </c>
    </row>
    <row r="119" spans="1:36" ht="11.25">
      <c r="A119" s="77" t="s">
        <v>85</v>
      </c>
      <c r="B119" s="286" t="s">
        <v>1892</v>
      </c>
      <c r="C119" s="646"/>
      <c r="D119" s="60" t="s">
        <v>1910</v>
      </c>
      <c r="E119" s="647"/>
      <c r="F119" s="60" t="s">
        <v>1931</v>
      </c>
      <c r="G119" s="478"/>
      <c r="H119" s="60" t="s">
        <v>1941</v>
      </c>
      <c r="I119" s="815"/>
      <c r="J119" s="815"/>
      <c r="K119" s="815"/>
      <c r="L119" s="60" t="s">
        <v>1958</v>
      </c>
      <c r="M119" s="478"/>
      <c r="N119" s="60" t="s">
        <v>1975</v>
      </c>
      <c r="O119" s="478"/>
      <c r="P119" s="60" t="s">
        <v>1993</v>
      </c>
      <c r="Q119" s="478"/>
      <c r="R119" s="60" t="s">
        <v>2011</v>
      </c>
      <c r="S119" s="478"/>
      <c r="T119" s="60" t="s">
        <v>1210</v>
      </c>
      <c r="U119" s="478"/>
      <c r="V119" s="60" t="s">
        <v>2329</v>
      </c>
      <c r="W119" s="478"/>
      <c r="X119" s="60" t="s">
        <v>2347</v>
      </c>
      <c r="Y119" s="478"/>
      <c r="Z119" s="60" t="s">
        <v>2365</v>
      </c>
      <c r="AA119" s="648"/>
      <c r="AJ119" s="1" t="s">
        <v>1359</v>
      </c>
    </row>
    <row r="120" spans="1:36" ht="11.25">
      <c r="A120" s="77" t="s">
        <v>86</v>
      </c>
      <c r="B120" s="286" t="s">
        <v>1893</v>
      </c>
      <c r="C120" s="647"/>
      <c r="D120" s="60" t="s">
        <v>1911</v>
      </c>
      <c r="E120" s="478"/>
      <c r="F120" s="60" t="s">
        <v>1932</v>
      </c>
      <c r="G120" s="478"/>
      <c r="H120" s="60" t="s">
        <v>317</v>
      </c>
      <c r="I120" s="815"/>
      <c r="J120" s="815"/>
      <c r="K120" s="815"/>
      <c r="L120" s="60" t="s">
        <v>1959</v>
      </c>
      <c r="M120" s="478"/>
      <c r="N120" s="60" t="s">
        <v>1976</v>
      </c>
      <c r="O120" s="478"/>
      <c r="P120" s="60" t="s">
        <v>1994</v>
      </c>
      <c r="Q120" s="478"/>
      <c r="R120" s="60" t="s">
        <v>2012</v>
      </c>
      <c r="S120" s="478"/>
      <c r="T120" s="60" t="s">
        <v>318</v>
      </c>
      <c r="U120" s="478"/>
      <c r="V120" s="60" t="s">
        <v>2330</v>
      </c>
      <c r="W120" s="478"/>
      <c r="X120" s="60" t="s">
        <v>2348</v>
      </c>
      <c r="Y120" s="478"/>
      <c r="Z120" s="60" t="s">
        <v>2366</v>
      </c>
      <c r="AA120" s="648"/>
      <c r="AJ120" s="1" t="s">
        <v>1360</v>
      </c>
    </row>
    <row r="121" spans="1:36" ht="11.25">
      <c r="A121" s="248" t="s">
        <v>464</v>
      </c>
      <c r="B121" s="476" t="s">
        <v>1894</v>
      </c>
      <c r="C121" s="649"/>
      <c r="D121" s="69" t="s">
        <v>1916</v>
      </c>
      <c r="E121" s="368"/>
      <c r="F121" s="69" t="s">
        <v>1933</v>
      </c>
      <c r="G121" s="368"/>
      <c r="H121" s="69" t="s">
        <v>1942</v>
      </c>
      <c r="I121" s="854"/>
      <c r="J121" s="854"/>
      <c r="K121" s="854"/>
      <c r="L121" s="69" t="s">
        <v>1960</v>
      </c>
      <c r="M121" s="368"/>
      <c r="N121" s="69" t="s">
        <v>1977</v>
      </c>
      <c r="O121" s="368"/>
      <c r="P121" s="69" t="s">
        <v>1995</v>
      </c>
      <c r="Q121" s="368"/>
      <c r="R121" s="69" t="s">
        <v>2013</v>
      </c>
      <c r="S121" s="368"/>
      <c r="T121" s="69" t="s">
        <v>1211</v>
      </c>
      <c r="U121" s="368"/>
      <c r="V121" s="69" t="s">
        <v>2331</v>
      </c>
      <c r="W121" s="368"/>
      <c r="X121" s="69" t="s">
        <v>2349</v>
      </c>
      <c r="Y121" s="368"/>
      <c r="Z121" s="69" t="s">
        <v>2367</v>
      </c>
      <c r="AA121" s="650"/>
      <c r="AJ121" s="1" t="s">
        <v>1361</v>
      </c>
    </row>
    <row r="122" spans="1:36" ht="11.25">
      <c r="A122" s="555" t="s">
        <v>1510</v>
      </c>
      <c r="B122" s="577"/>
      <c r="C122" s="577"/>
      <c r="D122" s="576"/>
      <c r="E122" s="577"/>
      <c r="F122" s="576"/>
      <c r="G122" s="577"/>
      <c r="H122" s="576"/>
      <c r="I122" s="577"/>
      <c r="J122" s="577"/>
      <c r="K122" s="577"/>
      <c r="L122" s="576"/>
      <c r="M122" s="577"/>
      <c r="N122" s="576"/>
      <c r="O122" s="577"/>
      <c r="P122" s="576"/>
      <c r="Q122" s="577"/>
      <c r="R122" s="576"/>
      <c r="S122" s="577"/>
      <c r="T122" s="576"/>
      <c r="U122" s="577"/>
      <c r="V122" s="576"/>
      <c r="W122" s="577"/>
      <c r="X122" s="576"/>
      <c r="Y122" s="577"/>
      <c r="Z122" s="576"/>
      <c r="AA122" s="552"/>
      <c r="AJ122" s="1" t="s">
        <v>1362</v>
      </c>
    </row>
    <row r="123" spans="1:36" ht="11.25">
      <c r="A123" s="832" t="s">
        <v>1416</v>
      </c>
      <c r="B123" s="833"/>
      <c r="C123" s="833"/>
      <c r="D123" s="833"/>
      <c r="E123" s="833"/>
      <c r="F123" s="833"/>
      <c r="G123" s="833"/>
      <c r="H123" s="833"/>
      <c r="I123" s="833"/>
      <c r="J123" s="833"/>
      <c r="K123" s="833"/>
      <c r="L123" s="833"/>
      <c r="M123" s="833"/>
      <c r="N123" s="833"/>
      <c r="O123" s="833"/>
      <c r="P123" s="833"/>
      <c r="Q123" s="833"/>
      <c r="R123" s="833"/>
      <c r="S123" s="833"/>
      <c r="T123" s="833"/>
      <c r="U123" s="833"/>
      <c r="V123" s="833"/>
      <c r="W123" s="833"/>
      <c r="X123" s="833"/>
      <c r="Y123" s="833"/>
      <c r="Z123" s="833"/>
      <c r="AA123" s="834"/>
      <c r="AJ123" s="1" t="s">
        <v>1363</v>
      </c>
    </row>
    <row r="124" spans="1:36" ht="11.25">
      <c r="A124" s="832"/>
      <c r="B124" s="833"/>
      <c r="C124" s="833"/>
      <c r="D124" s="833"/>
      <c r="E124" s="833"/>
      <c r="F124" s="833"/>
      <c r="G124" s="833"/>
      <c r="H124" s="833"/>
      <c r="I124" s="833"/>
      <c r="J124" s="833"/>
      <c r="K124" s="833"/>
      <c r="L124" s="833"/>
      <c r="M124" s="833"/>
      <c r="N124" s="833"/>
      <c r="O124" s="833"/>
      <c r="P124" s="833"/>
      <c r="Q124" s="833"/>
      <c r="R124" s="833"/>
      <c r="S124" s="833"/>
      <c r="T124" s="833"/>
      <c r="U124" s="833"/>
      <c r="V124" s="833"/>
      <c r="W124" s="833"/>
      <c r="X124" s="833"/>
      <c r="Y124" s="833"/>
      <c r="Z124" s="833"/>
      <c r="AA124" s="834"/>
      <c r="AJ124" s="1" t="s">
        <v>1364</v>
      </c>
    </row>
    <row r="125" spans="1:36" ht="11.25">
      <c r="A125" s="832" t="s">
        <v>1417</v>
      </c>
      <c r="B125" s="833"/>
      <c r="C125" s="833"/>
      <c r="D125" s="833"/>
      <c r="E125" s="833"/>
      <c r="F125" s="833"/>
      <c r="G125" s="833"/>
      <c r="H125" s="833"/>
      <c r="I125" s="833"/>
      <c r="J125" s="833"/>
      <c r="K125" s="833"/>
      <c r="L125" s="833"/>
      <c r="M125" s="833"/>
      <c r="N125" s="833"/>
      <c r="O125" s="833"/>
      <c r="P125" s="833"/>
      <c r="Q125" s="833"/>
      <c r="R125" s="833"/>
      <c r="S125" s="833"/>
      <c r="T125" s="833"/>
      <c r="U125" s="833"/>
      <c r="V125" s="833"/>
      <c r="W125" s="833"/>
      <c r="X125" s="833"/>
      <c r="Y125" s="833"/>
      <c r="Z125" s="833"/>
      <c r="AA125" s="834"/>
      <c r="AJ125" s="1" t="s">
        <v>1365</v>
      </c>
    </row>
    <row r="126" spans="1:36" ht="11.25">
      <c r="A126" s="832"/>
      <c r="B126" s="833"/>
      <c r="C126" s="833"/>
      <c r="D126" s="833"/>
      <c r="E126" s="833"/>
      <c r="F126" s="833"/>
      <c r="G126" s="833"/>
      <c r="H126" s="833"/>
      <c r="I126" s="833"/>
      <c r="J126" s="833"/>
      <c r="K126" s="833"/>
      <c r="L126" s="833"/>
      <c r="M126" s="833"/>
      <c r="N126" s="833"/>
      <c r="O126" s="833"/>
      <c r="P126" s="833"/>
      <c r="Q126" s="833"/>
      <c r="R126" s="833"/>
      <c r="S126" s="833"/>
      <c r="T126" s="833"/>
      <c r="U126" s="833"/>
      <c r="V126" s="833"/>
      <c r="W126" s="833"/>
      <c r="X126" s="833"/>
      <c r="Y126" s="833"/>
      <c r="Z126" s="833"/>
      <c r="AA126" s="834"/>
      <c r="AJ126" s="1" t="s">
        <v>1366</v>
      </c>
    </row>
    <row r="127" spans="1:36" ht="11.25">
      <c r="A127" s="832" t="s">
        <v>416</v>
      </c>
      <c r="B127" s="833"/>
      <c r="C127" s="833"/>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3"/>
      <c r="AA127" s="834"/>
      <c r="AJ127" s="1" t="s">
        <v>1367</v>
      </c>
    </row>
    <row r="128" spans="1:36" ht="11.25">
      <c r="A128" s="832"/>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3"/>
      <c r="X128" s="833"/>
      <c r="Y128" s="833"/>
      <c r="Z128" s="833"/>
      <c r="AA128" s="834"/>
      <c r="AJ128" s="1" t="s">
        <v>1368</v>
      </c>
    </row>
    <row r="129" spans="1:36" ht="11.25">
      <c r="A129" s="567" t="s">
        <v>1530</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219"/>
      <c r="AJ129" s="1" t="s">
        <v>1369</v>
      </c>
    </row>
    <row r="130" spans="1:36" ht="11.25">
      <c r="A130" s="563"/>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1"/>
      <c r="AJ130" s="1" t="s">
        <v>1370</v>
      </c>
    </row>
    <row r="131" spans="1:36" ht="11.25">
      <c r="A131" s="175"/>
      <c r="B131" s="54"/>
      <c r="C131" s="54"/>
      <c r="D131" s="54"/>
      <c r="E131" s="54"/>
      <c r="F131" s="54"/>
      <c r="G131" s="54"/>
      <c r="H131" s="54"/>
      <c r="I131" s="54"/>
      <c r="J131" s="54"/>
      <c r="K131" s="54"/>
      <c r="L131" s="54"/>
      <c r="M131" s="54"/>
      <c r="N131" s="54"/>
      <c r="O131" s="54"/>
      <c r="P131" s="54"/>
      <c r="Q131" s="54"/>
      <c r="R131" s="814" t="s">
        <v>1507</v>
      </c>
      <c r="S131" s="814"/>
      <c r="T131" s="814"/>
      <c r="U131" s="814"/>
      <c r="V131" s="54"/>
      <c r="W131" s="54"/>
      <c r="X131" s="54"/>
      <c r="Y131" s="54"/>
      <c r="Z131" s="54"/>
      <c r="AA131" s="96"/>
      <c r="AJ131" s="1" t="s">
        <v>1371</v>
      </c>
    </row>
    <row r="132" spans="1:36" ht="11.25">
      <c r="A132" s="76" t="s">
        <v>1656</v>
      </c>
      <c r="B132" s="77"/>
      <c r="C132" s="77"/>
      <c r="D132" s="77"/>
      <c r="E132" s="77"/>
      <c r="F132" s="77"/>
      <c r="G132" s="77"/>
      <c r="H132" s="77"/>
      <c r="I132" s="77"/>
      <c r="J132" s="77"/>
      <c r="K132" s="77"/>
      <c r="L132" s="835" t="s">
        <v>1506</v>
      </c>
      <c r="M132" s="835"/>
      <c r="N132" s="835"/>
      <c r="O132" s="835"/>
      <c r="P132" s="79"/>
      <c r="Q132" s="77"/>
      <c r="R132" s="810"/>
      <c r="S132" s="810"/>
      <c r="T132" s="810"/>
      <c r="U132" s="810"/>
      <c r="V132" s="79"/>
      <c r="W132" s="77"/>
      <c r="X132" s="835" t="s">
        <v>1670</v>
      </c>
      <c r="Y132" s="835"/>
      <c r="Z132" s="835"/>
      <c r="AA132" s="840"/>
      <c r="AJ132" s="1" t="s">
        <v>1372</v>
      </c>
    </row>
    <row r="133" spans="1:36" ht="11.25">
      <c r="A133" s="56" t="s">
        <v>1650</v>
      </c>
      <c r="B133" s="57"/>
      <c r="C133" s="57"/>
      <c r="D133" s="57"/>
      <c r="E133" s="57"/>
      <c r="F133" s="57"/>
      <c r="G133" s="57"/>
      <c r="H133" s="57"/>
      <c r="I133" s="57"/>
      <c r="J133" s="57"/>
      <c r="K133" s="57"/>
      <c r="L133" s="795" t="s">
        <v>2383</v>
      </c>
      <c r="M133" s="795"/>
      <c r="N133" s="795" t="s">
        <v>49</v>
      </c>
      <c r="O133" s="795"/>
      <c r="P133" s="58"/>
      <c r="Q133" s="57"/>
      <c r="R133" s="795" t="s">
        <v>2383</v>
      </c>
      <c r="S133" s="795"/>
      <c r="T133" s="795" t="s">
        <v>49</v>
      </c>
      <c r="U133" s="795"/>
      <c r="V133" s="58"/>
      <c r="W133" s="57"/>
      <c r="X133" s="795" t="s">
        <v>2383</v>
      </c>
      <c r="Y133" s="795"/>
      <c r="Z133" s="795" t="s">
        <v>49</v>
      </c>
      <c r="AA133" s="841"/>
      <c r="AB133" s="59"/>
      <c r="AJ133" s="1" t="s">
        <v>1373</v>
      </c>
    </row>
    <row r="134" spans="1:36" ht="11.25">
      <c r="A134" s="77" t="s">
        <v>73</v>
      </c>
      <c r="B134" s="77"/>
      <c r="C134" s="77"/>
      <c r="D134" s="77"/>
      <c r="E134" s="77"/>
      <c r="F134" s="77"/>
      <c r="G134" s="77"/>
      <c r="H134" s="77"/>
      <c r="I134" s="77"/>
      <c r="J134" s="77"/>
      <c r="K134" s="77"/>
      <c r="L134" s="60" t="s">
        <v>360</v>
      </c>
      <c r="M134" s="396">
        <v>15757</v>
      </c>
      <c r="N134" s="60" t="s">
        <v>1579</v>
      </c>
      <c r="O134" s="796">
        <v>109684000</v>
      </c>
      <c r="P134" s="797"/>
      <c r="Q134" s="798"/>
      <c r="R134" s="60" t="s">
        <v>1422</v>
      </c>
      <c r="S134" s="396">
        <v>16738</v>
      </c>
      <c r="T134" s="60" t="s">
        <v>2088</v>
      </c>
      <c r="U134" s="796">
        <v>137904000</v>
      </c>
      <c r="V134" s="797"/>
      <c r="W134" s="798"/>
      <c r="X134" s="60" t="s">
        <v>2089</v>
      </c>
      <c r="Y134" s="396">
        <v>22516</v>
      </c>
      <c r="Z134" s="60" t="s">
        <v>2090</v>
      </c>
      <c r="AA134" s="365">
        <v>49726000</v>
      </c>
      <c r="AJ134" s="1" t="s">
        <v>1374</v>
      </c>
    </row>
    <row r="135" spans="1:36" ht="11.25">
      <c r="A135" s="77" t="s">
        <v>74</v>
      </c>
      <c r="B135" s="77"/>
      <c r="C135" s="77"/>
      <c r="D135" s="77"/>
      <c r="E135" s="77"/>
      <c r="F135" s="77"/>
      <c r="G135" s="77"/>
      <c r="H135" s="77"/>
      <c r="I135" s="77"/>
      <c r="J135" s="77"/>
      <c r="K135" s="77"/>
      <c r="L135" s="60" t="s">
        <v>2082</v>
      </c>
      <c r="M135" s="396">
        <v>5041</v>
      </c>
      <c r="N135" s="60" t="s">
        <v>1580</v>
      </c>
      <c r="O135" s="715">
        <v>31078000</v>
      </c>
      <c r="P135" s="716"/>
      <c r="Q135" s="717"/>
      <c r="R135" s="60" t="s">
        <v>2091</v>
      </c>
      <c r="S135" s="396">
        <v>6123</v>
      </c>
      <c r="T135" s="60" t="s">
        <v>2097</v>
      </c>
      <c r="U135" s="715">
        <v>35626000</v>
      </c>
      <c r="V135" s="716"/>
      <c r="W135" s="717"/>
      <c r="X135" s="60" t="s">
        <v>2103</v>
      </c>
      <c r="Y135" s="396">
        <v>35575</v>
      </c>
      <c r="Z135" s="60" t="s">
        <v>2109</v>
      </c>
      <c r="AA135" s="364">
        <v>108344000</v>
      </c>
      <c r="AJ135" s="1" t="s">
        <v>1375</v>
      </c>
    </row>
    <row r="136" spans="1:36" ht="11.25">
      <c r="A136" s="77" t="s">
        <v>75</v>
      </c>
      <c r="B136" s="77"/>
      <c r="C136" s="77"/>
      <c r="D136" s="77"/>
      <c r="E136" s="77"/>
      <c r="F136" s="77"/>
      <c r="G136" s="77"/>
      <c r="H136" s="77"/>
      <c r="I136" s="77"/>
      <c r="J136" s="77"/>
      <c r="K136" s="77"/>
      <c r="L136" s="60" t="s">
        <v>2083</v>
      </c>
      <c r="M136" s="396">
        <v>16666</v>
      </c>
      <c r="N136" s="60" t="s">
        <v>1581</v>
      </c>
      <c r="O136" s="799">
        <v>180406000</v>
      </c>
      <c r="P136" s="800"/>
      <c r="Q136" s="801"/>
      <c r="R136" s="60" t="s">
        <v>2092</v>
      </c>
      <c r="S136" s="396">
        <v>19065</v>
      </c>
      <c r="T136" s="60" t="s">
        <v>2098</v>
      </c>
      <c r="U136" s="715">
        <v>210637000</v>
      </c>
      <c r="V136" s="716"/>
      <c r="W136" s="717"/>
      <c r="X136" s="60" t="s">
        <v>2104</v>
      </c>
      <c r="Y136" s="396">
        <v>21455</v>
      </c>
      <c r="Z136" s="60" t="s">
        <v>2110</v>
      </c>
      <c r="AA136" s="364">
        <v>145264000</v>
      </c>
      <c r="AJ136" s="1" t="s">
        <v>1376</v>
      </c>
    </row>
    <row r="137" spans="1:36" ht="11.25">
      <c r="A137" s="77" t="s">
        <v>76</v>
      </c>
      <c r="B137" s="77"/>
      <c r="C137" s="77"/>
      <c r="D137" s="77"/>
      <c r="E137" s="77"/>
      <c r="F137" s="77"/>
      <c r="G137" s="77"/>
      <c r="H137" s="77"/>
      <c r="I137" s="77"/>
      <c r="J137" s="77"/>
      <c r="K137" s="77"/>
      <c r="L137" s="60" t="s">
        <v>2084</v>
      </c>
      <c r="M137" s="396">
        <v>2484</v>
      </c>
      <c r="N137" s="60" t="s">
        <v>1582</v>
      </c>
      <c r="O137" s="715">
        <v>39357000</v>
      </c>
      <c r="P137" s="716"/>
      <c r="Q137" s="717"/>
      <c r="R137" s="60" t="s">
        <v>2093</v>
      </c>
      <c r="S137" s="396">
        <v>2974</v>
      </c>
      <c r="T137" s="60" t="s">
        <v>2099</v>
      </c>
      <c r="U137" s="715">
        <v>54507000</v>
      </c>
      <c r="V137" s="716"/>
      <c r="W137" s="717"/>
      <c r="X137" s="60" t="s">
        <v>2105</v>
      </c>
      <c r="Y137" s="396">
        <v>38251</v>
      </c>
      <c r="Z137" s="60" t="s">
        <v>2111</v>
      </c>
      <c r="AA137" s="364">
        <v>461654000</v>
      </c>
      <c r="AJ137" s="1" t="s">
        <v>1377</v>
      </c>
    </row>
    <row r="138" spans="1:36" ht="11.25">
      <c r="A138" s="77" t="s">
        <v>77</v>
      </c>
      <c r="B138" s="77"/>
      <c r="C138" s="77"/>
      <c r="D138" s="77"/>
      <c r="E138" s="77"/>
      <c r="F138" s="77"/>
      <c r="G138" s="77"/>
      <c r="H138" s="77"/>
      <c r="I138" s="77"/>
      <c r="J138" s="77"/>
      <c r="K138" s="77"/>
      <c r="L138" s="60" t="s">
        <v>2085</v>
      </c>
      <c r="M138" s="396">
        <v>3333</v>
      </c>
      <c r="N138" s="60" t="s">
        <v>1583</v>
      </c>
      <c r="O138" s="715">
        <v>69602000</v>
      </c>
      <c r="P138" s="716"/>
      <c r="Q138" s="717"/>
      <c r="R138" s="60" t="s">
        <v>2094</v>
      </c>
      <c r="S138" s="396">
        <v>3725</v>
      </c>
      <c r="T138" s="60" t="s">
        <v>2100</v>
      </c>
      <c r="U138" s="715">
        <v>81546000</v>
      </c>
      <c r="V138" s="716"/>
      <c r="W138" s="717"/>
      <c r="X138" s="60" t="s">
        <v>2106</v>
      </c>
      <c r="Y138" s="396">
        <v>9441</v>
      </c>
      <c r="Z138" s="60" t="s">
        <v>2112</v>
      </c>
      <c r="AA138" s="364">
        <v>224189000</v>
      </c>
      <c r="AJ138" s="1" t="s">
        <v>1378</v>
      </c>
    </row>
    <row r="139" spans="1:36" ht="11.25">
      <c r="A139" s="77" t="s">
        <v>78</v>
      </c>
      <c r="B139" s="77"/>
      <c r="C139" s="77"/>
      <c r="D139" s="77"/>
      <c r="E139" s="77"/>
      <c r="F139" s="77"/>
      <c r="G139" s="77"/>
      <c r="H139" s="77"/>
      <c r="I139" s="77"/>
      <c r="J139" s="77"/>
      <c r="K139" s="77"/>
      <c r="L139" s="60" t="s">
        <v>2086</v>
      </c>
      <c r="M139" s="396">
        <v>45</v>
      </c>
      <c r="N139" s="60" t="s">
        <v>1584</v>
      </c>
      <c r="O139" s="705">
        <v>5793000</v>
      </c>
      <c r="P139" s="703"/>
      <c r="Q139" s="704"/>
      <c r="R139" s="60" t="s">
        <v>2095</v>
      </c>
      <c r="S139" s="396">
        <v>45</v>
      </c>
      <c r="T139" s="60" t="s">
        <v>2101</v>
      </c>
      <c r="U139" s="705">
        <v>5985000</v>
      </c>
      <c r="V139" s="703"/>
      <c r="W139" s="704"/>
      <c r="X139" s="60" t="s">
        <v>2107</v>
      </c>
      <c r="Y139" s="396">
        <v>59</v>
      </c>
      <c r="Z139" s="60" t="s">
        <v>2113</v>
      </c>
      <c r="AA139" s="364">
        <v>10823000</v>
      </c>
      <c r="AJ139" s="1" t="s">
        <v>1379</v>
      </c>
    </row>
    <row r="140" spans="1:36" s="43" customFormat="1" ht="11.25">
      <c r="A140" s="70" t="s">
        <v>48</v>
      </c>
      <c r="B140" s="70"/>
      <c r="C140" s="70"/>
      <c r="D140" s="70"/>
      <c r="E140" s="87"/>
      <c r="F140" s="87"/>
      <c r="G140" s="87"/>
      <c r="H140" s="87"/>
      <c r="I140" s="87"/>
      <c r="J140" s="87"/>
      <c r="K140" s="87"/>
      <c r="L140" s="66" t="s">
        <v>2087</v>
      </c>
      <c r="M140" s="326">
        <v>43326</v>
      </c>
      <c r="N140" s="66" t="s">
        <v>1585</v>
      </c>
      <c r="O140" s="700">
        <v>435920000</v>
      </c>
      <c r="P140" s="701"/>
      <c r="Q140" s="702"/>
      <c r="R140" s="66" t="s">
        <v>2096</v>
      </c>
      <c r="S140" s="326">
        <v>48670</v>
      </c>
      <c r="T140" s="66" t="s">
        <v>2102</v>
      </c>
      <c r="U140" s="700">
        <v>526205000</v>
      </c>
      <c r="V140" s="701"/>
      <c r="W140" s="702"/>
      <c r="X140" s="66" t="s">
        <v>2108</v>
      </c>
      <c r="Y140" s="326">
        <v>127297</v>
      </c>
      <c r="Z140" s="66" t="s">
        <v>2114</v>
      </c>
      <c r="AA140" s="366">
        <v>1000000000</v>
      </c>
      <c r="AC140" s="146"/>
      <c r="AD140" s="144"/>
      <c r="AJ140" s="43" t="s">
        <v>1380</v>
      </c>
    </row>
    <row r="141" spans="1:36" s="43" customFormat="1" ht="11.25">
      <c r="A141" s="156" t="s">
        <v>1019</v>
      </c>
      <c r="B141" s="70"/>
      <c r="C141" s="70"/>
      <c r="D141" s="70"/>
      <c r="E141" s="87"/>
      <c r="F141" s="87"/>
      <c r="G141" s="87"/>
      <c r="H141" s="87"/>
      <c r="I141" s="87"/>
      <c r="J141" s="87"/>
      <c r="K141" s="87"/>
      <c r="L141" s="66" t="s">
        <v>1020</v>
      </c>
      <c r="M141" s="367">
        <v>2.51</v>
      </c>
      <c r="N141" s="308"/>
      <c r="O141" s="311"/>
      <c r="P141" s="311"/>
      <c r="Q141" s="311"/>
      <c r="R141" s="66" t="s">
        <v>1021</v>
      </c>
      <c r="S141" s="367">
        <v>3</v>
      </c>
      <c r="T141" s="308"/>
      <c r="U141" s="851"/>
      <c r="V141" s="852"/>
      <c r="W141" s="853"/>
      <c r="X141" s="66" t="s">
        <v>1022</v>
      </c>
      <c r="Y141" s="367">
        <v>4</v>
      </c>
      <c r="Z141" s="308"/>
      <c r="AA141" s="579"/>
      <c r="AC141" s="146"/>
      <c r="AD141" s="144"/>
      <c r="AJ141" s="43" t="s">
        <v>1381</v>
      </c>
    </row>
    <row r="142" spans="1:36" ht="11.25">
      <c r="A142" s="555" t="s">
        <v>964</v>
      </c>
      <c r="B142" s="267"/>
      <c r="C142" s="267"/>
      <c r="D142" s="267"/>
      <c r="E142" s="267"/>
      <c r="F142" s="267"/>
      <c r="G142" s="267"/>
      <c r="H142" s="267"/>
      <c r="I142" s="267"/>
      <c r="J142" s="267"/>
      <c r="K142" s="267"/>
      <c r="L142" s="267"/>
      <c r="M142" s="267"/>
      <c r="N142" s="267"/>
      <c r="O142" s="267"/>
      <c r="P142" s="267"/>
      <c r="Q142" s="267"/>
      <c r="R142" s="267"/>
      <c r="S142" s="267"/>
      <c r="T142" s="267"/>
      <c r="U142" s="305"/>
      <c r="V142" s="305"/>
      <c r="W142" s="305"/>
      <c r="X142" s="305"/>
      <c r="Y142" s="305"/>
      <c r="Z142" s="305"/>
      <c r="AA142" s="552"/>
      <c r="AJ142" s="1" t="s">
        <v>1382</v>
      </c>
    </row>
    <row r="143" spans="1:36" ht="11.25">
      <c r="A143" s="563"/>
      <c r="B143" s="270"/>
      <c r="C143" s="270"/>
      <c r="D143" s="270"/>
      <c r="E143" s="270"/>
      <c r="F143" s="270"/>
      <c r="G143" s="270"/>
      <c r="H143" s="270"/>
      <c r="I143" s="270"/>
      <c r="J143" s="270"/>
      <c r="K143" s="270"/>
      <c r="L143" s="270"/>
      <c r="M143" s="270"/>
      <c r="N143" s="270"/>
      <c r="O143" s="270"/>
      <c r="P143" s="270"/>
      <c r="Q143" s="270"/>
      <c r="R143" s="270"/>
      <c r="S143" s="270"/>
      <c r="T143" s="270"/>
      <c r="U143" s="307"/>
      <c r="V143" s="307"/>
      <c r="W143" s="307"/>
      <c r="X143" s="307"/>
      <c r="Y143" s="307"/>
      <c r="Z143" s="307"/>
      <c r="AA143" s="271"/>
      <c r="AJ143" s="1" t="s">
        <v>1383</v>
      </c>
    </row>
    <row r="144" spans="1:83" s="101" customFormat="1" ht="11.25">
      <c r="A144" s="175"/>
      <c r="B144" s="54"/>
      <c r="C144" s="54"/>
      <c r="D144" s="54"/>
      <c r="E144" s="54"/>
      <c r="F144" s="54"/>
      <c r="G144" s="54"/>
      <c r="H144" s="54"/>
      <c r="I144" s="54"/>
      <c r="J144" s="54"/>
      <c r="K144" s="54"/>
      <c r="L144" s="54"/>
      <c r="M144" s="54"/>
      <c r="N144" s="54"/>
      <c r="O144" s="54"/>
      <c r="P144" s="54"/>
      <c r="Q144" s="54"/>
      <c r="R144" s="814" t="s">
        <v>1507</v>
      </c>
      <c r="S144" s="814"/>
      <c r="T144" s="814"/>
      <c r="U144" s="814"/>
      <c r="V144" s="98"/>
      <c r="W144" s="98"/>
      <c r="X144" s="98"/>
      <c r="Y144" s="98"/>
      <c r="Z144" s="98"/>
      <c r="AA144" s="176"/>
      <c r="AB144" s="1"/>
      <c r="AC144" s="361"/>
      <c r="AD144" s="165"/>
      <c r="AE144" s="1"/>
      <c r="AF144" s="1"/>
      <c r="AG144" s="1"/>
      <c r="AH144" s="1"/>
      <c r="AI144" s="1"/>
      <c r="AJ144" s="1" t="s">
        <v>1384</v>
      </c>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1:36" ht="11.25">
      <c r="A145" s="99"/>
      <c r="B145" s="77"/>
      <c r="C145" s="77"/>
      <c r="D145" s="77"/>
      <c r="E145" s="77"/>
      <c r="F145" s="77"/>
      <c r="G145" s="77"/>
      <c r="H145" s="77"/>
      <c r="I145" s="77"/>
      <c r="J145" s="77"/>
      <c r="K145" s="77"/>
      <c r="L145" s="835" t="s">
        <v>1506</v>
      </c>
      <c r="M145" s="835"/>
      <c r="N145" s="835"/>
      <c r="O145" s="835"/>
      <c r="P145" s="79"/>
      <c r="Q145" s="77"/>
      <c r="R145" s="810"/>
      <c r="S145" s="810"/>
      <c r="T145" s="810"/>
      <c r="U145" s="810"/>
      <c r="V145" s="79"/>
      <c r="W145" s="77"/>
      <c r="X145" s="835" t="s">
        <v>1670</v>
      </c>
      <c r="Y145" s="835"/>
      <c r="Z145" s="835"/>
      <c r="AA145" s="840"/>
      <c r="AJ145" s="1" t="s">
        <v>1385</v>
      </c>
    </row>
    <row r="146" spans="1:83" s="101" customFormat="1" ht="11.25">
      <c r="A146" s="56" t="s">
        <v>1008</v>
      </c>
      <c r="B146" s="57"/>
      <c r="C146" s="57"/>
      <c r="D146" s="57"/>
      <c r="E146" s="57"/>
      <c r="F146" s="57"/>
      <c r="G146" s="57"/>
      <c r="H146" s="57"/>
      <c r="I146" s="57"/>
      <c r="J146" s="57"/>
      <c r="K146" s="57"/>
      <c r="L146" s="57"/>
      <c r="M146" s="78" t="s">
        <v>1016</v>
      </c>
      <c r="N146" s="78"/>
      <c r="O146" s="57"/>
      <c r="P146" s="78"/>
      <c r="Q146" s="57"/>
      <c r="R146" s="57"/>
      <c r="S146" s="78" t="s">
        <v>1016</v>
      </c>
      <c r="T146" s="78"/>
      <c r="U146" s="57"/>
      <c r="V146" s="57"/>
      <c r="W146" s="100"/>
      <c r="X146" s="57"/>
      <c r="Y146" s="78" t="s">
        <v>1016</v>
      </c>
      <c r="Z146" s="78"/>
      <c r="AA146" s="30"/>
      <c r="AB146" s="1"/>
      <c r="AC146" s="361"/>
      <c r="AD146" s="165"/>
      <c r="AE146" s="1"/>
      <c r="AF146" s="1"/>
      <c r="AG146" s="1"/>
      <c r="AH146" s="1"/>
      <c r="AI146" s="1"/>
      <c r="AJ146" s="1" t="s">
        <v>1386</v>
      </c>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1:83" s="101" customFormat="1" ht="11.25">
      <c r="A147" s="57" t="s">
        <v>1009</v>
      </c>
      <c r="B147" s="57"/>
      <c r="C147" s="57"/>
      <c r="D147" s="57"/>
      <c r="E147" s="57"/>
      <c r="F147" s="57"/>
      <c r="G147" s="57"/>
      <c r="H147" s="57"/>
      <c r="I147" s="57"/>
      <c r="J147" s="57"/>
      <c r="K147" s="57"/>
      <c r="L147" s="69" t="s">
        <v>280</v>
      </c>
      <c r="M147" s="368">
        <v>3.54</v>
      </c>
      <c r="N147" s="651"/>
      <c r="O147" s="270"/>
      <c r="P147" s="422"/>
      <c r="Q147" s="271"/>
      <c r="R147" s="69" t="s">
        <v>1599</v>
      </c>
      <c r="S147" s="368">
        <v>304</v>
      </c>
      <c r="T147" s="651"/>
      <c r="U147" s="270"/>
      <c r="V147" s="270"/>
      <c r="W147" s="578"/>
      <c r="X147" s="155" t="s">
        <v>1601</v>
      </c>
      <c r="Y147" s="495">
        <v>0</v>
      </c>
      <c r="Z147" s="546"/>
      <c r="AA147" s="378"/>
      <c r="AB147" s="1"/>
      <c r="AC147" s="361"/>
      <c r="AD147" s="165"/>
      <c r="AE147" s="1"/>
      <c r="AF147" s="1"/>
      <c r="AG147" s="1"/>
      <c r="AH147" s="1"/>
      <c r="AI147" s="1"/>
      <c r="AJ147" s="1" t="s">
        <v>1387</v>
      </c>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1:36" ht="11.25">
      <c r="A148" s="102"/>
      <c r="B148" s="102"/>
      <c r="C148" s="1"/>
      <c r="D148" s="1"/>
      <c r="E148" s="102"/>
      <c r="F148" s="102"/>
      <c r="G148" s="102"/>
      <c r="H148" s="102"/>
      <c r="I148" s="102"/>
      <c r="J148" s="102"/>
      <c r="K148" s="102"/>
      <c r="L148" s="102"/>
      <c r="M148" s="1"/>
      <c r="N148" s="1"/>
      <c r="O148" s="102"/>
      <c r="P148" s="102"/>
      <c r="Q148" s="102"/>
      <c r="R148" s="102"/>
      <c r="S148" s="102"/>
      <c r="T148" s="102"/>
      <c r="U148" s="1"/>
      <c r="V148" s="1"/>
      <c r="W148" s="102"/>
      <c r="X148" s="102"/>
      <c r="Y148" s="102"/>
      <c r="Z148" s="102"/>
      <c r="AJ148" s="1" t="s">
        <v>1388</v>
      </c>
    </row>
    <row r="149" spans="1:36" ht="11.25">
      <c r="A149" s="1"/>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1"/>
      <c r="AJ149" s="1" t="s">
        <v>1389</v>
      </c>
    </row>
    <row r="150" spans="1:36" ht="11.25">
      <c r="A150" s="44"/>
      <c r="AJ150" s="1" t="s">
        <v>118</v>
      </c>
    </row>
    <row r="151" ht="11.25">
      <c r="AJ151" s="1" t="s">
        <v>119</v>
      </c>
    </row>
    <row r="152" spans="1:36" ht="11.25">
      <c r="A152" s="104"/>
      <c r="AJ152" s="1" t="s">
        <v>120</v>
      </c>
    </row>
    <row r="153" spans="1:36" ht="11.25">
      <c r="A153" s="104"/>
      <c r="AJ153" s="1" t="s">
        <v>121</v>
      </c>
    </row>
    <row r="154" spans="1:36" ht="11.25">
      <c r="A154" s="104"/>
      <c r="AJ154" s="1" t="s">
        <v>122</v>
      </c>
    </row>
    <row r="155" spans="1:36" ht="11.25">
      <c r="A155" s="104"/>
      <c r="AJ155" s="1" t="s">
        <v>123</v>
      </c>
    </row>
    <row r="156" spans="1:36" ht="11.25">
      <c r="A156" s="104"/>
      <c r="AJ156" s="1" t="s">
        <v>124</v>
      </c>
    </row>
    <row r="157" spans="1:36" ht="11.25">
      <c r="A157" s="104"/>
      <c r="AJ157" s="1" t="s">
        <v>125</v>
      </c>
    </row>
    <row r="158" spans="1:36" ht="11.25">
      <c r="A158" s="104"/>
      <c r="AJ158" s="1" t="s">
        <v>126</v>
      </c>
    </row>
    <row r="159" ht="11.25">
      <c r="AJ159" s="1" t="s">
        <v>127</v>
      </c>
    </row>
    <row r="160" ht="11.25">
      <c r="AJ160" s="1" t="s">
        <v>1401</v>
      </c>
    </row>
    <row r="161" ht="11.25">
      <c r="AJ161" s="1" t="s">
        <v>1402</v>
      </c>
    </row>
    <row r="162" ht="11.25">
      <c r="AJ162" s="1" t="s">
        <v>1403</v>
      </c>
    </row>
    <row r="163" ht="11.25">
      <c r="AJ163" s="1" t="s">
        <v>1404</v>
      </c>
    </row>
    <row r="164" ht="11.25">
      <c r="AJ164" s="1" t="s">
        <v>1405</v>
      </c>
    </row>
  </sheetData>
  <sheetProtection password="CE28" sheet="1" objects="1" scenarios="1"/>
  <mergeCells count="238">
    <mergeCell ref="B102:K102"/>
    <mergeCell ref="E94:G94"/>
    <mergeCell ref="I94:K94"/>
    <mergeCell ref="S94:U94"/>
    <mergeCell ref="L102:S102"/>
    <mergeCell ref="T102:AA102"/>
    <mergeCell ref="W94:Y94"/>
    <mergeCell ref="I120:K120"/>
    <mergeCell ref="R144:U145"/>
    <mergeCell ref="L145:O145"/>
    <mergeCell ref="X145:AA145"/>
    <mergeCell ref="U141:W141"/>
    <mergeCell ref="I121:K121"/>
    <mergeCell ref="X132:AA132"/>
    <mergeCell ref="T133:U133"/>
    <mergeCell ref="Z133:AA133"/>
    <mergeCell ref="L133:M133"/>
    <mergeCell ref="Z103:AA103"/>
    <mergeCell ref="A123:AA124"/>
    <mergeCell ref="A125:AA126"/>
    <mergeCell ref="A127:AA128"/>
    <mergeCell ref="I104:K104"/>
    <mergeCell ref="I105:K105"/>
    <mergeCell ref="I106:K106"/>
    <mergeCell ref="I107:K107"/>
    <mergeCell ref="I108:K108"/>
    <mergeCell ref="I109:K109"/>
    <mergeCell ref="I103:K103"/>
    <mergeCell ref="X103:Y103"/>
    <mergeCell ref="D103:E103"/>
    <mergeCell ref="F103:G103"/>
    <mergeCell ref="N103:O103"/>
    <mergeCell ref="P103:Q103"/>
    <mergeCell ref="V103:W103"/>
    <mergeCell ref="L103:M103"/>
    <mergeCell ref="R103:S103"/>
    <mergeCell ref="H83:O83"/>
    <mergeCell ref="M60:O60"/>
    <mergeCell ref="O72:Q72"/>
    <mergeCell ref="I80:K80"/>
    <mergeCell ref="I76:K76"/>
    <mergeCell ref="I77:K77"/>
    <mergeCell ref="I78:K78"/>
    <mergeCell ref="I79:K79"/>
    <mergeCell ref="I73:K73"/>
    <mergeCell ref="I74:K74"/>
    <mergeCell ref="V69:W70"/>
    <mergeCell ref="W83:W84"/>
    <mergeCell ref="AA83:AA84"/>
    <mergeCell ref="H84:I84"/>
    <mergeCell ref="L84:M84"/>
    <mergeCell ref="N84:O84"/>
    <mergeCell ref="S76:U76"/>
    <mergeCell ref="X80:AA80"/>
    <mergeCell ref="A81:AA82"/>
    <mergeCell ref="U83:U84"/>
    <mergeCell ref="T17:U17"/>
    <mergeCell ref="L15:O16"/>
    <mergeCell ref="AD69:AD70"/>
    <mergeCell ref="H70:I70"/>
    <mergeCell ref="L70:M70"/>
    <mergeCell ref="N70:O70"/>
    <mergeCell ref="Z69:Z70"/>
    <mergeCell ref="AB69:AB70"/>
    <mergeCell ref="H69:O69"/>
    <mergeCell ref="R69:S70"/>
    <mergeCell ref="Q56:S56"/>
    <mergeCell ref="Q57:S57"/>
    <mergeCell ref="Q58:S58"/>
    <mergeCell ref="F16:I16"/>
    <mergeCell ref="S16:U16"/>
    <mergeCell ref="F17:G17"/>
    <mergeCell ref="H17:I17"/>
    <mergeCell ref="L17:M17"/>
    <mergeCell ref="N17:O17"/>
    <mergeCell ref="R17:S17"/>
    <mergeCell ref="Q59:S59"/>
    <mergeCell ref="O73:Q73"/>
    <mergeCell ref="O74:Q74"/>
    <mergeCell ref="Q83:Q84"/>
    <mergeCell ref="S80:U80"/>
    <mergeCell ref="O75:Q75"/>
    <mergeCell ref="O80:Q80"/>
    <mergeCell ref="S73:U73"/>
    <mergeCell ref="S74:U74"/>
    <mergeCell ref="S75:U75"/>
    <mergeCell ref="I37:K37"/>
    <mergeCell ref="R131:U132"/>
    <mergeCell ref="L132:O132"/>
    <mergeCell ref="O76:Q76"/>
    <mergeCell ref="O77:Q77"/>
    <mergeCell ref="O78:Q78"/>
    <mergeCell ref="O79:Q79"/>
    <mergeCell ref="T103:U103"/>
    <mergeCell ref="S72:U72"/>
    <mergeCell ref="I115:K115"/>
    <mergeCell ref="E85:G85"/>
    <mergeCell ref="E86:G86"/>
    <mergeCell ref="E87:G87"/>
    <mergeCell ref="A84:C84"/>
    <mergeCell ref="D83:E84"/>
    <mergeCell ref="F83:F84"/>
    <mergeCell ref="E80:G80"/>
    <mergeCell ref="I112:K112"/>
    <mergeCell ref="E72:G72"/>
    <mergeCell ref="E73:G73"/>
    <mergeCell ref="E74:G74"/>
    <mergeCell ref="G83:G84"/>
    <mergeCell ref="E75:G75"/>
    <mergeCell ref="E76:G76"/>
    <mergeCell ref="E77:G77"/>
    <mergeCell ref="A95:AA96"/>
    <mergeCell ref="I32:K32"/>
    <mergeCell ref="I33:K33"/>
    <mergeCell ref="B103:C103"/>
    <mergeCell ref="I35:K35"/>
    <mergeCell ref="I36:K36"/>
    <mergeCell ref="I34:K34"/>
    <mergeCell ref="A41:AA47"/>
    <mergeCell ref="A70:C70"/>
    <mergeCell ref="S83:S84"/>
    <mergeCell ref="S71:U71"/>
    <mergeCell ref="I31:K31"/>
    <mergeCell ref="I30:K30"/>
    <mergeCell ref="I118:K118"/>
    <mergeCell ref="I119:K119"/>
    <mergeCell ref="I116:K116"/>
    <mergeCell ref="I117:K117"/>
    <mergeCell ref="I113:K113"/>
    <mergeCell ref="I114:K114"/>
    <mergeCell ref="I110:K110"/>
    <mergeCell ref="I111:K111"/>
    <mergeCell ref="I29:K29"/>
    <mergeCell ref="I28:K28"/>
    <mergeCell ref="I27:K27"/>
    <mergeCell ref="I26:K26"/>
    <mergeCell ref="I25:K25"/>
    <mergeCell ref="I24:K24"/>
    <mergeCell ref="I23:K23"/>
    <mergeCell ref="I22:K22"/>
    <mergeCell ref="I21:K21"/>
    <mergeCell ref="I20:K20"/>
    <mergeCell ref="I19:K19"/>
    <mergeCell ref="I18:K18"/>
    <mergeCell ref="O18:Q18"/>
    <mergeCell ref="O19:Q19"/>
    <mergeCell ref="O20:Q20"/>
    <mergeCell ref="O21:Q21"/>
    <mergeCell ref="O22:Q22"/>
    <mergeCell ref="O23:Q23"/>
    <mergeCell ref="O24:Q24"/>
    <mergeCell ref="O25:Q25"/>
    <mergeCell ref="O26:Q26"/>
    <mergeCell ref="O27:Q27"/>
    <mergeCell ref="O28:Q28"/>
    <mergeCell ref="O29:Q29"/>
    <mergeCell ref="O30:Q30"/>
    <mergeCell ref="O31:Q31"/>
    <mergeCell ref="O32:Q32"/>
    <mergeCell ref="O33:Q33"/>
    <mergeCell ref="E71:G71"/>
    <mergeCell ref="I71:K71"/>
    <mergeCell ref="O71:Q71"/>
    <mergeCell ref="O37:Q37"/>
    <mergeCell ref="Q60:S60"/>
    <mergeCell ref="Q52:S52"/>
    <mergeCell ref="P53:S54"/>
    <mergeCell ref="A54:H54"/>
    <mergeCell ref="L54:M54"/>
    <mergeCell ref="D69:E70"/>
    <mergeCell ref="I75:K75"/>
    <mergeCell ref="O34:Q34"/>
    <mergeCell ref="O35:Q35"/>
    <mergeCell ref="O36:Q36"/>
    <mergeCell ref="M59:O59"/>
    <mergeCell ref="M58:O58"/>
    <mergeCell ref="M57:O57"/>
    <mergeCell ref="M56:O56"/>
    <mergeCell ref="M55:O55"/>
    <mergeCell ref="Q55:S55"/>
    <mergeCell ref="S77:U77"/>
    <mergeCell ref="S78:U78"/>
    <mergeCell ref="S79:U79"/>
    <mergeCell ref="E88:G88"/>
    <mergeCell ref="S85:U85"/>
    <mergeCell ref="S86:U86"/>
    <mergeCell ref="S87:U87"/>
    <mergeCell ref="S88:U88"/>
    <mergeCell ref="E78:G78"/>
    <mergeCell ref="E79:G79"/>
    <mergeCell ref="S89:U89"/>
    <mergeCell ref="S90:U90"/>
    <mergeCell ref="S91:U91"/>
    <mergeCell ref="S92:U92"/>
    <mergeCell ref="S93:U93"/>
    <mergeCell ref="W85:Y85"/>
    <mergeCell ref="W86:Y86"/>
    <mergeCell ref="W87:Y87"/>
    <mergeCell ref="W88:Y88"/>
    <mergeCell ref="W89:Y89"/>
    <mergeCell ref="W90:Y90"/>
    <mergeCell ref="W91:Y91"/>
    <mergeCell ref="W92:Y92"/>
    <mergeCell ref="W93:Y93"/>
    <mergeCell ref="X133:Y133"/>
    <mergeCell ref="N133:O133"/>
    <mergeCell ref="R133:S133"/>
    <mergeCell ref="O137:Q137"/>
    <mergeCell ref="O134:Q134"/>
    <mergeCell ref="O135:Q135"/>
    <mergeCell ref="O136:Q136"/>
    <mergeCell ref="U134:W134"/>
    <mergeCell ref="U135:W135"/>
    <mergeCell ref="U136:W136"/>
    <mergeCell ref="U137:W137"/>
    <mergeCell ref="U138:W138"/>
    <mergeCell ref="U139:W139"/>
    <mergeCell ref="U140:W140"/>
    <mergeCell ref="O140:Q140"/>
    <mergeCell ref="E93:G93"/>
    <mergeCell ref="I85:K85"/>
    <mergeCell ref="I86:K86"/>
    <mergeCell ref="I87:K87"/>
    <mergeCell ref="I88:K88"/>
    <mergeCell ref="I89:K89"/>
    <mergeCell ref="I90:K90"/>
    <mergeCell ref="I91:K91"/>
    <mergeCell ref="I92:K92"/>
    <mergeCell ref="A1:H1"/>
    <mergeCell ref="E9:J9"/>
    <mergeCell ref="O138:Q138"/>
    <mergeCell ref="O139:Q139"/>
    <mergeCell ref="I93:K93"/>
    <mergeCell ref="E89:G89"/>
    <mergeCell ref="E90:G90"/>
    <mergeCell ref="E91:G91"/>
    <mergeCell ref="E92:G92"/>
    <mergeCell ref="I72:K72"/>
  </mergeCells>
  <conditionalFormatting sqref="M59:O59">
    <cfRule type="expression" priority="1" dxfId="0" stopIfTrue="1">
      <formula>NOT(AD2)</formula>
    </cfRule>
    <cfRule type="expression" priority="2" dxfId="0" stopIfTrue="1">
      <formula>NOT(AD3)</formula>
    </cfRule>
  </conditionalFormatting>
  <conditionalFormatting sqref="Q59">
    <cfRule type="expression" priority="3" dxfId="0" stopIfTrue="1">
      <formula>NOT(AD4)</formula>
    </cfRule>
  </conditionalFormatting>
  <conditionalFormatting sqref="AD2:AD62">
    <cfRule type="cellIs" priority="4" dxfId="0" operator="equal" stopIfTrue="1">
      <formula>FALSE</formula>
    </cfRule>
  </conditionalFormatting>
  <conditionalFormatting sqref="G37">
    <cfRule type="expression" priority="5" dxfId="0" stopIfTrue="1">
      <formula>NOT(AD7)</formula>
    </cfRule>
    <cfRule type="expression" priority="6" dxfId="0" stopIfTrue="1">
      <formula>NOT(AD12)</formula>
    </cfRule>
  </conditionalFormatting>
  <conditionalFormatting sqref="I37:K37">
    <cfRule type="expression" priority="7" dxfId="0" stopIfTrue="1">
      <formula>NOT(AD6)</formula>
    </cfRule>
    <cfRule type="expression" priority="8" dxfId="0" stopIfTrue="1">
      <formula>NOT(AD13)</formula>
    </cfRule>
  </conditionalFormatting>
  <conditionalFormatting sqref="M37">
    <cfRule type="expression" priority="9" dxfId="0" stopIfTrue="1">
      <formula>NOT(AD8)</formula>
    </cfRule>
    <cfRule type="expression" priority="10" dxfId="0" stopIfTrue="1">
      <formula>NOT(AD14)</formula>
    </cfRule>
  </conditionalFormatting>
  <conditionalFormatting sqref="O37:Q37">
    <cfRule type="expression" priority="11" dxfId="0" stopIfTrue="1">
      <formula>NOT(AD9)</formula>
    </cfRule>
    <cfRule type="expression" priority="12" dxfId="0" stopIfTrue="1">
      <formula>NOT(AD15)</formula>
    </cfRule>
  </conditionalFormatting>
  <conditionalFormatting sqref="S37">
    <cfRule type="expression" priority="13" dxfId="0" stopIfTrue="1">
      <formula>NOT(AD10)</formula>
    </cfRule>
    <cfRule type="expression" priority="14" dxfId="0" stopIfTrue="1">
      <formula>NOT(AD16)</formula>
    </cfRule>
  </conditionalFormatting>
  <conditionalFormatting sqref="U37">
    <cfRule type="expression" priority="15" dxfId="0" stopIfTrue="1">
      <formula>NOT(AD11)</formula>
    </cfRule>
    <cfRule type="expression" priority="16" dxfId="0" stopIfTrue="1">
      <formula>NOT(AD17)</formula>
    </cfRule>
  </conditionalFormatting>
  <conditionalFormatting sqref="E80:G80">
    <cfRule type="expression" priority="17" dxfId="0" stopIfTrue="1">
      <formula>NOT(AD18)</formula>
    </cfRule>
  </conditionalFormatting>
  <conditionalFormatting sqref="I80:K80">
    <cfRule type="expression" priority="18" dxfId="0" stopIfTrue="1">
      <formula>NOT(AD19)</formula>
    </cfRule>
  </conditionalFormatting>
  <conditionalFormatting sqref="M80">
    <cfRule type="expression" priority="19" dxfId="0" stopIfTrue="1">
      <formula>NOT(AD20)</formula>
    </cfRule>
  </conditionalFormatting>
  <conditionalFormatting sqref="O71:Q80">
    <cfRule type="expression" priority="20" dxfId="0" stopIfTrue="1">
      <formula>NOT(AD21)</formula>
    </cfRule>
  </conditionalFormatting>
  <conditionalFormatting sqref="S80:U80">
    <cfRule type="expression" priority="21" dxfId="0" stopIfTrue="1">
      <formula>NOT(AD31)</formula>
    </cfRule>
  </conditionalFormatting>
  <conditionalFormatting sqref="W80">
    <cfRule type="expression" priority="22" dxfId="0" stopIfTrue="1">
      <formula>NOT(AD32)</formula>
    </cfRule>
  </conditionalFormatting>
  <conditionalFormatting sqref="E94:G94">
    <cfRule type="expression" priority="23" dxfId="0" stopIfTrue="1">
      <formula>NOT(AD33)</formula>
    </cfRule>
  </conditionalFormatting>
  <conditionalFormatting sqref="I94:K94">
    <cfRule type="expression" priority="24" dxfId="0" stopIfTrue="1">
      <formula>NOT(AD34)</formula>
    </cfRule>
  </conditionalFormatting>
  <conditionalFormatting sqref="M94">
    <cfRule type="expression" priority="25" dxfId="0" stopIfTrue="1">
      <formula>NOT(AD35)</formula>
    </cfRule>
  </conditionalFormatting>
  <conditionalFormatting sqref="O85:O93">
    <cfRule type="expression" priority="26" dxfId="0" stopIfTrue="1">
      <formula>NOT(AD36)</formula>
    </cfRule>
  </conditionalFormatting>
  <conditionalFormatting sqref="Q94">
    <cfRule type="expression" priority="27" dxfId="0" stopIfTrue="1">
      <formula>NOT(AD45)</formula>
    </cfRule>
  </conditionalFormatting>
  <conditionalFormatting sqref="S85:U94">
    <cfRule type="expression" priority="28" dxfId="0" stopIfTrue="1">
      <formula>NOT(AD46)</formula>
    </cfRule>
  </conditionalFormatting>
  <conditionalFormatting sqref="W94:Y94">
    <cfRule type="expression" priority="29" dxfId="0" stopIfTrue="1">
      <formula>NOT(AD56)</formula>
    </cfRule>
  </conditionalFormatting>
  <conditionalFormatting sqref="M140">
    <cfRule type="expression" priority="30" dxfId="0" stopIfTrue="1">
      <formula>NOT(AD57)</formula>
    </cfRule>
  </conditionalFormatting>
  <conditionalFormatting sqref="O140:Q140">
    <cfRule type="expression" priority="31" dxfId="0" stopIfTrue="1">
      <formula>NOT(AD58)</formula>
    </cfRule>
  </conditionalFormatting>
  <conditionalFormatting sqref="S140">
    <cfRule type="expression" priority="32" dxfId="0" stopIfTrue="1">
      <formula>NOT(AD59)</formula>
    </cfRule>
  </conditionalFormatting>
  <conditionalFormatting sqref="U140:W140">
    <cfRule type="expression" priority="33" dxfId="0" stopIfTrue="1">
      <formula>NOT(AD60)</formula>
    </cfRule>
  </conditionalFormatting>
  <conditionalFormatting sqref="Y140">
    <cfRule type="expression" priority="34" dxfId="0" stopIfTrue="1">
      <formula>NOT(AD61)</formula>
    </cfRule>
  </conditionalFormatting>
  <conditionalFormatting sqref="AA140">
    <cfRule type="expression" priority="35" dxfId="0" stopIfTrue="1">
      <formula>NOT(AD62)</formula>
    </cfRule>
  </conditionalFormatting>
  <conditionalFormatting sqref="AA94">
    <cfRule type="expression" priority="36" dxfId="0" stopIfTrue="1">
      <formula>NOT(AD5)</formula>
    </cfRule>
  </conditionalFormatting>
  <dataValidations count="5">
    <dataValidation type="list" allowBlank="1" showInputMessage="1" showErrorMessage="1" sqref="E9">
      <formula1>$AJ$2:$AJ$164</formula1>
    </dataValidation>
    <dataValidation type="whole" operator="lessThan" allowBlank="1" showInputMessage="1" showErrorMessage="1" errorTitle="Celda de Tipo Numérico Entero" sqref="G18:G37 I18:K37 M18:M37 O18:Q37 S18:S37 U18:U37 M55:O59 U134:W140 Q55:S59 E71:G80 I71:K80 M71:M80 O71:Q80 S71:U80 W71:W80 E85:G94 I85:K94 M85:M94 O85:O94 Q85:Q94 S85:U94 W85:Y94 S134:S140 M134:M140 O134:Q140 Y134:Y140 AA134:AA140">
      <formula1>9.99999999999999E+52</formula1>
    </dataValidation>
    <dataValidation type="decimal" operator="lessThan" allowBlank="1" showInputMessage="1" showErrorMessage="1" errorTitle="Celda de Tipo Numérico Decimal" sqref="M60:O60 Q60:S60 M147 S147 AA85:AA94 C104:C121 E104:E121 G104:G121 I104:K121 M104:M121 O104:O121 Q104:Q121 S104:S121 U104:U121 W104:W121 Y104:Y121 AA104:AA121 M141 S141 Y141">
      <formula1>9.99999999999999E+171</formula1>
    </dataValidation>
    <dataValidation operator="lessThan" allowBlank="1" showInputMessage="1" errorTitle="Celda de Tipo Numérico Entero" sqref="A41:AA47"/>
    <dataValidation type="decimal" operator="lessThan" allowBlank="1" showInputMessage="1" showErrorMessage="1" errorTitle="Celda de Tipo Numérico Decimal" sqref="Y147">
      <formula1>9.99999999999999E+52</formula1>
    </dataValidation>
  </dataValidations>
  <printOptions horizontalCentered="1"/>
  <pageMargins left="0.1968503937007874" right="0.3937007874015748" top="0.5905511811023623" bottom="0.5511811023622047" header="0" footer="0.3937007874015748"/>
  <pageSetup fitToHeight="100" horizontalDpi="600" verticalDpi="600" orientation="landscape" paperSize="9" scale="45" r:id="rId2"/>
  <rowBreaks count="4" manualBreakCount="4">
    <brk id="51" max="24" man="1"/>
    <brk id="68" max="24" man="1"/>
    <brk id="101" max="24" man="1"/>
    <brk id="130" max="27" man="1"/>
  </rowBreaks>
  <legacyDrawing r:id="rId1"/>
</worksheet>
</file>

<file path=xl/worksheets/sheet7.xml><?xml version="1.0" encoding="utf-8"?>
<worksheet xmlns="http://schemas.openxmlformats.org/spreadsheetml/2006/main" xmlns:r="http://schemas.openxmlformats.org/officeDocument/2006/relationships">
  <sheetPr codeName="Hoja6"/>
  <dimension ref="A1:IV78"/>
  <sheetViews>
    <sheetView zoomScale="90" zoomScaleNormal="90" zoomScaleSheetLayoutView="75" workbookViewId="0" topLeftCell="A47">
      <selection activeCell="A81" sqref="A81"/>
    </sheetView>
  </sheetViews>
  <sheetFormatPr defaultColWidth="11.421875" defaultRowHeight="12.75"/>
  <cols>
    <col min="1" max="1" width="33.00390625" style="7" customWidth="1"/>
    <col min="2" max="2" width="43.8515625" style="7" customWidth="1"/>
    <col min="3" max="3" width="5.140625" style="7" customWidth="1"/>
    <col min="4" max="5" width="19.28125" style="7" customWidth="1"/>
    <col min="6" max="7" width="5.140625" style="7" customWidth="1"/>
    <col min="8" max="8" width="19.28125" style="7" customWidth="1"/>
    <col min="9" max="9" width="5.7109375" style="7" customWidth="1"/>
    <col min="10" max="10" width="19.28125" style="7" customWidth="1"/>
    <col min="11" max="11" width="5.140625" style="7" customWidth="1"/>
    <col min="12" max="12" width="19.28125" style="7" customWidth="1"/>
    <col min="13" max="13" width="5.00390625" style="7" customWidth="1"/>
    <col min="14" max="14" width="19.28125" style="7" customWidth="1"/>
    <col min="15" max="15" width="5.140625" style="7" customWidth="1"/>
    <col min="16" max="16" width="19.28125" style="7" customWidth="1"/>
    <col min="17" max="17" width="5.140625" style="7" customWidth="1"/>
    <col min="18" max="18" width="19.140625" style="7" customWidth="1"/>
    <col min="19" max="19" width="5.140625" style="7" customWidth="1"/>
    <col min="20" max="20" width="19.28125" style="7" customWidth="1"/>
    <col min="21" max="21" width="5.140625" style="7" customWidth="1"/>
    <col min="22" max="22" width="19.28125" style="7" customWidth="1"/>
    <col min="23" max="23" width="5.140625" style="7" customWidth="1"/>
    <col min="24" max="24" width="19.28125" style="7" customWidth="1"/>
    <col min="25" max="25" width="5.140625" style="7" customWidth="1"/>
    <col min="26" max="26" width="19.28125" style="7" customWidth="1"/>
    <col min="27" max="27" width="9.00390625" style="7" hidden="1" customWidth="1"/>
    <col min="28" max="28" width="47.8515625" style="7" hidden="1" customWidth="1"/>
    <col min="29" max="29" width="24.28125" style="7" hidden="1" customWidth="1"/>
    <col min="30" max="30" width="9.140625" style="7" hidden="1" customWidth="1"/>
    <col min="31" max="246" width="9.140625" style="7" customWidth="1"/>
    <col min="247" max="248" width="9.140625" style="7" hidden="1" customWidth="1"/>
    <col min="249" max="249" width="15.00390625" style="7" hidden="1" customWidth="1"/>
    <col min="250" max="250" width="14.28125" style="7" hidden="1" customWidth="1"/>
    <col min="251" max="251" width="19.8515625" style="7" hidden="1" customWidth="1"/>
    <col min="252" max="252" width="9.140625" style="7" hidden="1" customWidth="1"/>
    <col min="253" max="253" width="8.00390625" style="7" hidden="1" customWidth="1"/>
    <col min="254" max="255" width="9.140625" style="7" hidden="1" customWidth="1"/>
    <col min="256" max="16384" width="30.8515625" style="7" hidden="1" customWidth="1"/>
  </cols>
  <sheetData>
    <row r="1" spans="1:256" ht="40.5" customHeight="1">
      <c r="A1" s="710" t="s">
        <v>897</v>
      </c>
      <c r="B1" s="711"/>
      <c r="C1" s="711"/>
      <c r="D1" s="711"/>
      <c r="E1" s="711"/>
      <c r="F1" s="711"/>
      <c r="G1" s="711"/>
      <c r="H1" s="711"/>
      <c r="I1" s="500"/>
      <c r="J1" s="500"/>
      <c r="K1" s="500"/>
      <c r="L1" s="500"/>
      <c r="M1" s="500"/>
      <c r="N1" s="500"/>
      <c r="O1" s="500"/>
      <c r="P1" s="500"/>
      <c r="Q1" s="500"/>
      <c r="R1" s="500"/>
      <c r="S1" s="500"/>
      <c r="T1" s="500"/>
      <c r="U1" s="500"/>
      <c r="V1" s="500"/>
      <c r="W1" s="500"/>
      <c r="X1" s="500"/>
      <c r="Y1" s="500"/>
      <c r="Z1" s="501"/>
      <c r="AB1" s="253" t="s">
        <v>1391</v>
      </c>
      <c r="AC1" s="10" t="s">
        <v>1392</v>
      </c>
      <c r="IO1" s="91">
        <v>3330</v>
      </c>
      <c r="IP1" s="91">
        <v>9949</v>
      </c>
      <c r="IQ1" s="91">
        <v>9950</v>
      </c>
      <c r="IR1" s="91">
        <v>9990</v>
      </c>
      <c r="IS1" s="91"/>
      <c r="IT1" s="91"/>
      <c r="IU1" s="91"/>
      <c r="IV1" s="147" t="s">
        <v>1413</v>
      </c>
    </row>
    <row r="2" spans="1:256" s="1" customFormat="1" ht="11.25">
      <c r="A2" s="294"/>
      <c r="B2" s="57"/>
      <c r="C2" s="57"/>
      <c r="D2" s="57"/>
      <c r="E2" s="57"/>
      <c r="F2" s="298"/>
      <c r="G2" s="57"/>
      <c r="H2" s="298"/>
      <c r="I2" s="57"/>
      <c r="J2" s="298"/>
      <c r="K2" s="57"/>
      <c r="L2" s="298"/>
      <c r="M2" s="57"/>
      <c r="N2" s="298"/>
      <c r="O2" s="57"/>
      <c r="P2" s="298"/>
      <c r="Q2" s="57"/>
      <c r="R2" s="298"/>
      <c r="S2" s="57"/>
      <c r="T2" s="298"/>
      <c r="U2" s="57"/>
      <c r="V2" s="57"/>
      <c r="W2" s="57"/>
      <c r="X2" s="298"/>
      <c r="Y2" s="57"/>
      <c r="Z2" s="499" t="s">
        <v>2317</v>
      </c>
      <c r="AA2" s="7"/>
      <c r="AB2" s="11" t="s">
        <v>1058</v>
      </c>
      <c r="AC2" s="12" t="b">
        <f>s052.09115=s052.08025</f>
        <v>1</v>
      </c>
      <c r="IO2" s="148" t="s">
        <v>608</v>
      </c>
      <c r="IP2" s="148" t="s">
        <v>1415</v>
      </c>
      <c r="IQ2" s="148" t="s">
        <v>1415</v>
      </c>
      <c r="IR2" s="148">
        <v>365</v>
      </c>
      <c r="IS2" s="148"/>
      <c r="IT2" s="148"/>
      <c r="IU2" s="148"/>
      <c r="IV2" s="148" t="s">
        <v>1406</v>
      </c>
    </row>
    <row r="3" spans="1:256" s="17" customFormat="1" ht="11.25">
      <c r="A3" s="149"/>
      <c r="B3" s="26"/>
      <c r="C3" s="26"/>
      <c r="D3" s="27"/>
      <c r="E3" s="26"/>
      <c r="F3" s="48"/>
      <c r="G3" s="26"/>
      <c r="H3" s="48"/>
      <c r="I3" s="26"/>
      <c r="J3" s="48"/>
      <c r="K3" s="26"/>
      <c r="L3" s="48"/>
      <c r="M3" s="26"/>
      <c r="N3" s="48"/>
      <c r="O3" s="26"/>
      <c r="P3" s="48"/>
      <c r="Q3" s="26"/>
      <c r="R3" s="48"/>
      <c r="S3" s="26"/>
      <c r="T3" s="48"/>
      <c r="U3" s="26"/>
      <c r="V3" s="48"/>
      <c r="W3" s="26"/>
      <c r="X3" s="48"/>
      <c r="Y3" s="26"/>
      <c r="Z3" s="150"/>
      <c r="AA3" s="7"/>
      <c r="AB3" s="11" t="s">
        <v>1059</v>
      </c>
      <c r="AC3" s="12" t="b">
        <f>s052.07315=s052.07355+s052.07305</f>
        <v>1</v>
      </c>
      <c r="IO3" s="151" t="s">
        <v>1704</v>
      </c>
      <c r="IP3" s="151" t="s">
        <v>607</v>
      </c>
      <c r="IQ3" s="151" t="s">
        <v>607</v>
      </c>
      <c r="IR3" s="151">
        <v>360</v>
      </c>
      <c r="IS3" s="151"/>
      <c r="IT3" s="151"/>
      <c r="IU3" s="151"/>
      <c r="IV3" s="151" t="s">
        <v>1407</v>
      </c>
    </row>
    <row r="4" spans="1:256" s="2" customFormat="1" ht="11.25">
      <c r="A4" s="206" t="s">
        <v>1588</v>
      </c>
      <c r="B4" s="207"/>
      <c r="C4" s="289"/>
      <c r="D4" s="274" t="str">
        <f>IF(ISBLANK(s000.00100),"",s000.00100)</f>
        <v>F.T.A. SANTANDER FINANCIACION 3</v>
      </c>
      <c r="E4" s="215"/>
      <c r="F4" s="214"/>
      <c r="G4" s="215"/>
      <c r="H4" s="214"/>
      <c r="I4" s="267"/>
      <c r="J4" s="267"/>
      <c r="K4" s="267"/>
      <c r="L4" s="267"/>
      <c r="M4" s="267"/>
      <c r="N4" s="267"/>
      <c r="O4" s="267"/>
      <c r="P4" s="267"/>
      <c r="Q4" s="267"/>
      <c r="R4" s="267"/>
      <c r="S4" s="267"/>
      <c r="T4" s="267"/>
      <c r="U4" s="267"/>
      <c r="V4" s="267"/>
      <c r="W4" s="267"/>
      <c r="X4" s="267"/>
      <c r="Y4" s="267"/>
      <c r="Z4" s="268"/>
      <c r="AB4" s="11" t="s">
        <v>1060</v>
      </c>
      <c r="AC4" s="12" t="b">
        <f>s052.07335=s052.07375+s052.07325</f>
        <v>1</v>
      </c>
      <c r="IO4" s="151" t="s">
        <v>1249</v>
      </c>
      <c r="IP4" s="151"/>
      <c r="IQ4" s="151"/>
      <c r="IR4" s="151" t="s">
        <v>1414</v>
      </c>
      <c r="IS4" s="151"/>
      <c r="IT4" s="151"/>
      <c r="IU4" s="151"/>
      <c r="IV4" s="151" t="s">
        <v>1408</v>
      </c>
    </row>
    <row r="5" spans="1:256" s="2" customFormat="1" ht="11.25">
      <c r="A5" s="208" t="s">
        <v>1589</v>
      </c>
      <c r="B5" s="209"/>
      <c r="C5" s="290"/>
      <c r="D5" s="278">
        <f>IF(ISBLANK(s000.00130),"",s000.00130)</f>
      </c>
      <c r="E5" s="217"/>
      <c r="F5" s="216"/>
      <c r="G5" s="217"/>
      <c r="H5" s="216"/>
      <c r="I5" s="218"/>
      <c r="J5" s="218"/>
      <c r="K5" s="218"/>
      <c r="L5" s="218"/>
      <c r="M5" s="218"/>
      <c r="N5" s="218"/>
      <c r="O5" s="218"/>
      <c r="P5" s="218"/>
      <c r="Q5" s="218"/>
      <c r="R5" s="218"/>
      <c r="S5" s="218"/>
      <c r="T5" s="218"/>
      <c r="U5" s="218"/>
      <c r="V5" s="218"/>
      <c r="W5" s="218"/>
      <c r="X5" s="218"/>
      <c r="Y5" s="218"/>
      <c r="Z5" s="219"/>
      <c r="AB5" s="11" t="s">
        <v>1791</v>
      </c>
      <c r="AC5" s="12" t="b">
        <f>s052.08005=ele_s052_08005</f>
        <v>1</v>
      </c>
      <c r="IO5" s="151"/>
      <c r="IP5" s="151"/>
      <c r="IQ5" s="151"/>
      <c r="IR5" s="151"/>
      <c r="IS5" s="151"/>
      <c r="IT5" s="151"/>
      <c r="IU5" s="151"/>
      <c r="IV5" s="151" t="s">
        <v>1409</v>
      </c>
    </row>
    <row r="6" spans="1:256" s="2" customFormat="1" ht="11.25">
      <c r="A6" s="208" t="s">
        <v>1590</v>
      </c>
      <c r="B6" s="209"/>
      <c r="C6" s="290"/>
      <c r="D6" s="278" t="str">
        <f>IF(ISBLANK(s000.00150),"",s000.00150)</f>
        <v>Santander de Titulizacion S.G.F.T., S.A</v>
      </c>
      <c r="E6" s="217"/>
      <c r="F6" s="216"/>
      <c r="G6" s="217"/>
      <c r="H6" s="216"/>
      <c r="I6" s="218"/>
      <c r="J6" s="218"/>
      <c r="K6" s="218"/>
      <c r="L6" s="218"/>
      <c r="M6" s="218"/>
      <c r="N6" s="218"/>
      <c r="O6" s="218"/>
      <c r="P6" s="218"/>
      <c r="Q6" s="218"/>
      <c r="R6" s="218"/>
      <c r="S6" s="218"/>
      <c r="T6" s="218"/>
      <c r="U6" s="218"/>
      <c r="V6" s="218"/>
      <c r="W6" s="218"/>
      <c r="X6" s="218"/>
      <c r="Y6" s="218"/>
      <c r="Z6" s="219"/>
      <c r="AB6" s="11" t="s">
        <v>1792</v>
      </c>
      <c r="AC6" s="12" t="b">
        <f>s052.08025=ele_s052_08025</f>
        <v>1</v>
      </c>
      <c r="IO6" s="151"/>
      <c r="IP6" s="151"/>
      <c r="IQ6" s="151"/>
      <c r="IR6" s="151"/>
      <c r="IS6" s="151"/>
      <c r="IT6" s="151"/>
      <c r="IU6" s="151"/>
      <c r="IV6" s="151" t="s">
        <v>1410</v>
      </c>
    </row>
    <row r="7" spans="1:256" s="2" customFormat="1" ht="11.25">
      <c r="A7" s="208" t="s">
        <v>2233</v>
      </c>
      <c r="B7" s="209"/>
      <c r="C7" s="290"/>
      <c r="D7" s="278" t="str">
        <f>IF(ISBLANK(s000.00170),"",s000.00170)</f>
        <v>No</v>
      </c>
      <c r="E7" s="217"/>
      <c r="F7" s="216"/>
      <c r="G7" s="217"/>
      <c r="H7" s="216"/>
      <c r="I7" s="218"/>
      <c r="J7" s="218"/>
      <c r="K7" s="218"/>
      <c r="L7" s="218"/>
      <c r="M7" s="218"/>
      <c r="N7" s="218"/>
      <c r="O7" s="218"/>
      <c r="P7" s="218"/>
      <c r="Q7" s="218"/>
      <c r="R7" s="218"/>
      <c r="S7" s="218"/>
      <c r="T7" s="218"/>
      <c r="U7" s="218"/>
      <c r="V7" s="218"/>
      <c r="W7" s="218"/>
      <c r="X7" s="218"/>
      <c r="Y7" s="218"/>
      <c r="Z7" s="219"/>
      <c r="AB7" s="11" t="s">
        <v>554</v>
      </c>
      <c r="AC7" s="12" t="b">
        <f>s052.08045=ele_s052_08045</f>
        <v>1</v>
      </c>
      <c r="IO7" s="151"/>
      <c r="IP7" s="151"/>
      <c r="IQ7" s="151"/>
      <c r="IR7" s="151"/>
      <c r="IS7" s="151"/>
      <c r="IT7" s="151"/>
      <c r="IU7" s="151"/>
      <c r="IV7" s="151" t="s">
        <v>1411</v>
      </c>
    </row>
    <row r="8" spans="1:256" s="2" customFormat="1" ht="11.25">
      <c r="A8" s="208" t="s">
        <v>2232</v>
      </c>
      <c r="B8" s="209"/>
      <c r="C8" s="290"/>
      <c r="D8" s="278" t="str">
        <f>IF(ISBLANK(s000.00180),"",s000.00180)</f>
        <v>Primer Semestre</v>
      </c>
      <c r="E8" s="217"/>
      <c r="F8" s="216"/>
      <c r="G8" s="217"/>
      <c r="H8" s="216"/>
      <c r="I8" s="218"/>
      <c r="J8" s="218"/>
      <c r="K8" s="218"/>
      <c r="L8" s="218"/>
      <c r="M8" s="218"/>
      <c r="N8" s="218"/>
      <c r="O8" s="218"/>
      <c r="P8" s="218"/>
      <c r="Q8" s="218"/>
      <c r="R8" s="218"/>
      <c r="S8" s="218"/>
      <c r="T8" s="218"/>
      <c r="U8" s="218"/>
      <c r="V8" s="218"/>
      <c r="W8" s="218"/>
      <c r="X8" s="218"/>
      <c r="Y8" s="218"/>
      <c r="Z8" s="219"/>
      <c r="AB8" s="11" t="s">
        <v>555</v>
      </c>
      <c r="AC8" s="12" t="b">
        <f>s052.08065=ele_s052_08065</f>
        <v>1</v>
      </c>
      <c r="IO8" s="151"/>
      <c r="IP8" s="151"/>
      <c r="IQ8" s="151"/>
      <c r="IR8" s="151"/>
      <c r="IS8" s="151"/>
      <c r="IT8" s="151"/>
      <c r="IU8" s="151"/>
      <c r="IV8" s="151" t="s">
        <v>1412</v>
      </c>
    </row>
    <row r="9" spans="1:256" s="17" customFormat="1" ht="11.25">
      <c r="A9" s="205" t="s">
        <v>210</v>
      </c>
      <c r="B9" s="203"/>
      <c r="C9" s="204"/>
      <c r="D9" s="897"/>
      <c r="E9" s="898"/>
      <c r="F9" s="375"/>
      <c r="G9" s="376"/>
      <c r="H9" s="375"/>
      <c r="I9" s="376"/>
      <c r="J9" s="375"/>
      <c r="K9" s="376"/>
      <c r="L9" s="375"/>
      <c r="M9" s="376"/>
      <c r="N9" s="375"/>
      <c r="O9" s="376"/>
      <c r="P9" s="375"/>
      <c r="Q9" s="376"/>
      <c r="R9" s="375"/>
      <c r="S9" s="376"/>
      <c r="T9" s="375"/>
      <c r="U9" s="376"/>
      <c r="V9" s="377"/>
      <c r="W9" s="376"/>
      <c r="X9" s="375"/>
      <c r="Y9" s="376"/>
      <c r="Z9" s="378"/>
      <c r="AA9" s="7"/>
      <c r="AB9" s="11" t="s">
        <v>556</v>
      </c>
      <c r="AC9" s="12" t="b">
        <f>s052.08085=ele_s052_08085</f>
        <v>1</v>
      </c>
      <c r="IO9" s="151"/>
      <c r="IP9" s="151"/>
      <c r="IQ9" s="151"/>
      <c r="IR9" s="151"/>
      <c r="IS9" s="151"/>
      <c r="IT9" s="151"/>
      <c r="IU9" s="151"/>
      <c r="IV9" s="148" t="s">
        <v>464</v>
      </c>
    </row>
    <row r="10" spans="1:255" ht="11.25">
      <c r="A10" s="47"/>
      <c r="B10" s="40"/>
      <c r="C10" s="40"/>
      <c r="D10" s="40"/>
      <c r="E10" s="40"/>
      <c r="F10" s="40"/>
      <c r="G10" s="40"/>
      <c r="H10" s="40"/>
      <c r="I10" s="40"/>
      <c r="J10" s="40"/>
      <c r="K10" s="40"/>
      <c r="L10" s="40"/>
      <c r="M10" s="40"/>
      <c r="N10" s="40"/>
      <c r="O10" s="40"/>
      <c r="P10" s="40"/>
      <c r="Q10" s="40"/>
      <c r="R10" s="40"/>
      <c r="S10" s="40"/>
      <c r="T10" s="40"/>
      <c r="U10" s="40"/>
      <c r="V10" s="40"/>
      <c r="W10" s="40"/>
      <c r="X10" s="40"/>
      <c r="Y10" s="40"/>
      <c r="Z10" s="150"/>
      <c r="AB10" s="11" t="s">
        <v>557</v>
      </c>
      <c r="AC10" s="12" t="b">
        <f>s052.08105=ele_s052_08105</f>
        <v>1</v>
      </c>
      <c r="IO10" s="148"/>
      <c r="IP10" s="148"/>
      <c r="IQ10" s="148"/>
      <c r="IR10" s="148"/>
      <c r="IS10" s="148"/>
      <c r="IT10" s="148"/>
      <c r="IU10" s="148"/>
    </row>
    <row r="11" spans="1:29" ht="11.25">
      <c r="A11" s="49" t="s">
        <v>1301</v>
      </c>
      <c r="B11" s="50"/>
      <c r="C11" s="50"/>
      <c r="D11" s="50"/>
      <c r="E11" s="50"/>
      <c r="F11" s="50"/>
      <c r="G11" s="50"/>
      <c r="H11" s="50"/>
      <c r="I11" s="50"/>
      <c r="J11" s="50"/>
      <c r="K11" s="50"/>
      <c r="L11" s="50"/>
      <c r="M11" s="50"/>
      <c r="N11" s="50"/>
      <c r="O11" s="50"/>
      <c r="P11" s="50"/>
      <c r="Q11" s="50"/>
      <c r="R11" s="50"/>
      <c r="S11" s="50"/>
      <c r="T11" s="50"/>
      <c r="U11" s="50"/>
      <c r="V11" s="50"/>
      <c r="W11" s="50"/>
      <c r="X11" s="50"/>
      <c r="Y11" s="50"/>
      <c r="Z11" s="51"/>
      <c r="AB11" s="11" t="s">
        <v>558</v>
      </c>
      <c r="AC11" s="12" t="b">
        <f>s052.09228=ele_s052_09228</f>
        <v>1</v>
      </c>
    </row>
    <row r="12" spans="1:256" ht="11.25">
      <c r="A12" s="56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9"/>
      <c r="AB12" s="11" t="s">
        <v>559</v>
      </c>
      <c r="AC12" s="12" t="b">
        <f>s052.09085=ele_s052_09085</f>
        <v>1</v>
      </c>
      <c r="IV12" s="52"/>
    </row>
    <row r="13" spans="1:256" ht="11.25">
      <c r="A13" s="556" t="s">
        <v>585</v>
      </c>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80"/>
      <c r="AA13" s="52"/>
      <c r="AB13" s="11" t="s">
        <v>560</v>
      </c>
      <c r="AC13" s="12" t="b">
        <f>s052.09095=ele_s052_09095</f>
        <v>1</v>
      </c>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5" ht="11.25">
      <c r="A14" s="556"/>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80"/>
      <c r="AA14" s="52"/>
      <c r="AB14" s="11" t="s">
        <v>561</v>
      </c>
      <c r="AC14" s="12" t="b">
        <f>s052.09105=ele_s052_09105</f>
        <v>1</v>
      </c>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row>
    <row r="15" spans="1:256" ht="11.25">
      <c r="A15" s="156" t="s">
        <v>1659</v>
      </c>
      <c r="B15" s="42"/>
      <c r="C15" s="42"/>
      <c r="D15" s="843" t="s">
        <v>1506</v>
      </c>
      <c r="E15" s="843"/>
      <c r="F15" s="843"/>
      <c r="G15" s="843"/>
      <c r="H15" s="843"/>
      <c r="I15" s="843"/>
      <c r="J15" s="873"/>
      <c r="K15" s="872" t="s">
        <v>1507</v>
      </c>
      <c r="L15" s="843"/>
      <c r="M15" s="843"/>
      <c r="N15" s="843"/>
      <c r="O15" s="843"/>
      <c r="P15" s="843"/>
      <c r="Q15" s="843"/>
      <c r="R15" s="873"/>
      <c r="S15" s="872" t="s">
        <v>1697</v>
      </c>
      <c r="T15" s="843"/>
      <c r="U15" s="843"/>
      <c r="V15" s="843"/>
      <c r="W15" s="843"/>
      <c r="X15" s="843"/>
      <c r="Y15" s="843"/>
      <c r="Z15" s="856"/>
      <c r="AB15" s="11" t="s">
        <v>562</v>
      </c>
      <c r="AC15" s="12" t="b">
        <f>s052.09115=ele_s052_09115</f>
        <v>1</v>
      </c>
      <c r="IV15" s="1"/>
    </row>
    <row r="16" spans="1:29" s="1" customFormat="1" ht="48" customHeight="1">
      <c r="A16" s="56" t="s">
        <v>1627</v>
      </c>
      <c r="B16" s="58" t="s">
        <v>984</v>
      </c>
      <c r="C16" s="58"/>
      <c r="D16" s="287" t="s">
        <v>62</v>
      </c>
      <c r="E16" s="810" t="s">
        <v>63</v>
      </c>
      <c r="F16" s="810"/>
      <c r="G16" s="810" t="s">
        <v>49</v>
      </c>
      <c r="H16" s="810"/>
      <c r="I16" s="810" t="s">
        <v>1628</v>
      </c>
      <c r="J16" s="874"/>
      <c r="K16" s="877" t="s">
        <v>62</v>
      </c>
      <c r="L16" s="810"/>
      <c r="M16" s="810" t="s">
        <v>63</v>
      </c>
      <c r="N16" s="810"/>
      <c r="O16" s="810" t="s">
        <v>49</v>
      </c>
      <c r="P16" s="810"/>
      <c r="Q16" s="810" t="s">
        <v>1628</v>
      </c>
      <c r="R16" s="874"/>
      <c r="S16" s="877" t="s">
        <v>62</v>
      </c>
      <c r="T16" s="810"/>
      <c r="U16" s="810" t="s">
        <v>63</v>
      </c>
      <c r="V16" s="810"/>
      <c r="W16" s="810" t="s">
        <v>49</v>
      </c>
      <c r="X16" s="810"/>
      <c r="Y16" s="810" t="s">
        <v>1629</v>
      </c>
      <c r="Z16" s="811"/>
      <c r="AA16" s="93"/>
      <c r="AB16" s="11" t="s">
        <v>563</v>
      </c>
      <c r="AC16" s="12" t="b">
        <f>s052.07305=ele_s052_07305</f>
        <v>1</v>
      </c>
    </row>
    <row r="17" spans="1:29" s="1" customFormat="1" ht="11.25">
      <c r="A17" s="153" t="s">
        <v>931</v>
      </c>
      <c r="B17" s="153" t="s">
        <v>1734</v>
      </c>
      <c r="C17" s="870" t="s">
        <v>1500</v>
      </c>
      <c r="D17" s="896"/>
      <c r="E17" s="875" t="s">
        <v>1501</v>
      </c>
      <c r="F17" s="876"/>
      <c r="G17" s="870" t="s">
        <v>1502</v>
      </c>
      <c r="H17" s="871"/>
      <c r="I17" s="870" t="s">
        <v>1503</v>
      </c>
      <c r="J17" s="871"/>
      <c r="K17" s="870" t="s">
        <v>718</v>
      </c>
      <c r="L17" s="871"/>
      <c r="M17" s="870" t="s">
        <v>719</v>
      </c>
      <c r="N17" s="871"/>
      <c r="O17" s="870" t="s">
        <v>720</v>
      </c>
      <c r="P17" s="871"/>
      <c r="Q17" s="870" t="s">
        <v>721</v>
      </c>
      <c r="R17" s="871"/>
      <c r="S17" s="870" t="s">
        <v>2016</v>
      </c>
      <c r="T17" s="871"/>
      <c r="U17" s="870" t="s">
        <v>1673</v>
      </c>
      <c r="V17" s="871"/>
      <c r="W17" s="870" t="s">
        <v>1674</v>
      </c>
      <c r="X17" s="871"/>
      <c r="Y17" s="870" t="s">
        <v>1675</v>
      </c>
      <c r="Z17" s="871"/>
      <c r="AB17" s="11" t="s">
        <v>564</v>
      </c>
      <c r="AC17" s="12" t="b">
        <f>s052.07315=ele_s052_07315</f>
        <v>1</v>
      </c>
    </row>
    <row r="18" spans="1:29" s="1" customFormat="1" ht="11.25">
      <c r="A18" s="480" t="s">
        <v>2172</v>
      </c>
      <c r="B18" s="480" t="s">
        <v>2178</v>
      </c>
      <c r="C18" s="868">
        <v>8450</v>
      </c>
      <c r="D18" s="869"/>
      <c r="E18" s="868">
        <v>33000</v>
      </c>
      <c r="F18" s="869"/>
      <c r="G18" s="868">
        <v>278461000</v>
      </c>
      <c r="H18" s="869"/>
      <c r="I18" s="866">
        <v>0</v>
      </c>
      <c r="J18" s="867"/>
      <c r="K18" s="868">
        <v>8450</v>
      </c>
      <c r="L18" s="869"/>
      <c r="M18" s="868">
        <v>44000</v>
      </c>
      <c r="N18" s="869"/>
      <c r="O18" s="868">
        <v>371342000</v>
      </c>
      <c r="P18" s="869"/>
      <c r="Q18" s="866">
        <v>86</v>
      </c>
      <c r="R18" s="867"/>
      <c r="S18" s="868">
        <v>8450</v>
      </c>
      <c r="T18" s="869"/>
      <c r="U18" s="868">
        <v>100000</v>
      </c>
      <c r="V18" s="869"/>
      <c r="W18" s="868">
        <v>845000000</v>
      </c>
      <c r="X18" s="869"/>
      <c r="Y18" s="866">
        <v>134</v>
      </c>
      <c r="Z18" s="867"/>
      <c r="AB18" s="11" t="s">
        <v>565</v>
      </c>
      <c r="AC18" s="12" t="b">
        <f>s052.07325=ele_s052_07325</f>
        <v>1</v>
      </c>
    </row>
    <row r="19" spans="1:29" s="1" customFormat="1" ht="11.25">
      <c r="A19" s="690" t="s">
        <v>2173</v>
      </c>
      <c r="B19" s="690" t="s">
        <v>2179</v>
      </c>
      <c r="C19" s="868">
        <v>490</v>
      </c>
      <c r="D19" s="869"/>
      <c r="E19" s="868">
        <v>100000</v>
      </c>
      <c r="F19" s="869"/>
      <c r="G19" s="868">
        <v>49000000</v>
      </c>
      <c r="H19" s="869"/>
      <c r="I19" s="866">
        <v>0</v>
      </c>
      <c r="J19" s="867"/>
      <c r="K19" s="868">
        <v>490</v>
      </c>
      <c r="L19" s="869"/>
      <c r="M19" s="868">
        <v>100000</v>
      </c>
      <c r="N19" s="869"/>
      <c r="O19" s="868">
        <v>49000000</v>
      </c>
      <c r="P19" s="869"/>
      <c r="Q19" s="866">
        <v>231</v>
      </c>
      <c r="R19" s="867"/>
      <c r="S19" s="868">
        <v>490</v>
      </c>
      <c r="T19" s="869"/>
      <c r="U19" s="868">
        <v>100000</v>
      </c>
      <c r="V19" s="869"/>
      <c r="W19" s="868">
        <v>49000000</v>
      </c>
      <c r="X19" s="869"/>
      <c r="Y19" s="866">
        <v>359</v>
      </c>
      <c r="Z19" s="867"/>
      <c r="AB19" s="11"/>
      <c r="AC19" s="12"/>
    </row>
    <row r="20" spans="1:29" s="1" customFormat="1" ht="11.25">
      <c r="A20" s="690" t="s">
        <v>2174</v>
      </c>
      <c r="B20" s="690" t="s">
        <v>2180</v>
      </c>
      <c r="C20" s="868">
        <v>280</v>
      </c>
      <c r="D20" s="869"/>
      <c r="E20" s="868">
        <v>100000</v>
      </c>
      <c r="F20" s="869"/>
      <c r="G20" s="868">
        <v>28000000</v>
      </c>
      <c r="H20" s="869"/>
      <c r="I20" s="866">
        <v>0</v>
      </c>
      <c r="J20" s="867"/>
      <c r="K20" s="868">
        <v>280</v>
      </c>
      <c r="L20" s="869"/>
      <c r="M20" s="868">
        <v>100000</v>
      </c>
      <c r="N20" s="869"/>
      <c r="O20" s="868">
        <v>28000000</v>
      </c>
      <c r="P20" s="869"/>
      <c r="Q20" s="866">
        <v>277</v>
      </c>
      <c r="R20" s="867"/>
      <c r="S20" s="868">
        <v>280</v>
      </c>
      <c r="T20" s="869"/>
      <c r="U20" s="868">
        <v>100000</v>
      </c>
      <c r="V20" s="869"/>
      <c r="W20" s="868">
        <v>28000000</v>
      </c>
      <c r="X20" s="869"/>
      <c r="Y20" s="866">
        <v>4</v>
      </c>
      <c r="Z20" s="867"/>
      <c r="AB20" s="11"/>
      <c r="AC20" s="12"/>
    </row>
    <row r="21" spans="1:29" s="1" customFormat="1" ht="11.25">
      <c r="A21" s="690" t="s">
        <v>2175</v>
      </c>
      <c r="B21" s="690" t="s">
        <v>2181</v>
      </c>
      <c r="C21" s="868">
        <v>360</v>
      </c>
      <c r="D21" s="869"/>
      <c r="E21" s="868">
        <v>100000</v>
      </c>
      <c r="F21" s="869"/>
      <c r="G21" s="868">
        <v>36000000</v>
      </c>
      <c r="H21" s="869"/>
      <c r="I21" s="866">
        <v>0</v>
      </c>
      <c r="J21" s="867"/>
      <c r="K21" s="868">
        <v>360</v>
      </c>
      <c r="L21" s="869"/>
      <c r="M21" s="868">
        <v>100000</v>
      </c>
      <c r="N21" s="869"/>
      <c r="O21" s="868">
        <v>36000000</v>
      </c>
      <c r="P21" s="869"/>
      <c r="Q21" s="866">
        <v>288</v>
      </c>
      <c r="R21" s="867"/>
      <c r="S21" s="868">
        <v>360</v>
      </c>
      <c r="T21" s="869"/>
      <c r="U21" s="868">
        <v>100000</v>
      </c>
      <c r="V21" s="869"/>
      <c r="W21" s="868">
        <v>36000000</v>
      </c>
      <c r="X21" s="869"/>
      <c r="Y21" s="866">
        <v>401</v>
      </c>
      <c r="Z21" s="867"/>
      <c r="AB21" s="11"/>
      <c r="AC21" s="12"/>
    </row>
    <row r="22" spans="1:29" s="1" customFormat="1" ht="11.25">
      <c r="A22" s="690" t="s">
        <v>2176</v>
      </c>
      <c r="B22" s="690" t="s">
        <v>2182</v>
      </c>
      <c r="C22" s="868">
        <v>420</v>
      </c>
      <c r="D22" s="869"/>
      <c r="E22" s="868">
        <v>100000</v>
      </c>
      <c r="F22" s="869"/>
      <c r="G22" s="868">
        <v>42000000</v>
      </c>
      <c r="H22" s="869"/>
      <c r="I22" s="866">
        <v>0</v>
      </c>
      <c r="J22" s="867"/>
      <c r="K22" s="868">
        <v>420</v>
      </c>
      <c r="L22" s="869"/>
      <c r="M22" s="868">
        <v>100000</v>
      </c>
      <c r="N22" s="869"/>
      <c r="O22" s="868">
        <v>42000000</v>
      </c>
      <c r="P22" s="869"/>
      <c r="Q22" s="866">
        <v>288</v>
      </c>
      <c r="R22" s="867"/>
      <c r="S22" s="868">
        <v>420</v>
      </c>
      <c r="T22" s="869"/>
      <c r="U22" s="868">
        <v>100000</v>
      </c>
      <c r="V22" s="869"/>
      <c r="W22" s="868">
        <v>42000000</v>
      </c>
      <c r="X22" s="869"/>
      <c r="Y22" s="866">
        <v>401</v>
      </c>
      <c r="Z22" s="867"/>
      <c r="AB22" s="11"/>
      <c r="AC22" s="12"/>
    </row>
    <row r="23" spans="1:29" s="1" customFormat="1" ht="11.25">
      <c r="A23" s="690" t="s">
        <v>2177</v>
      </c>
      <c r="B23" s="690" t="s">
        <v>2183</v>
      </c>
      <c r="C23" s="868">
        <v>220</v>
      </c>
      <c r="D23" s="869"/>
      <c r="E23" s="868">
        <v>100000</v>
      </c>
      <c r="F23" s="869"/>
      <c r="G23" s="868">
        <v>22000000</v>
      </c>
      <c r="H23" s="869"/>
      <c r="I23" s="866">
        <v>0</v>
      </c>
      <c r="J23" s="867"/>
      <c r="K23" s="868">
        <v>220</v>
      </c>
      <c r="L23" s="869"/>
      <c r="M23" s="868">
        <v>100000</v>
      </c>
      <c r="N23" s="869"/>
      <c r="O23" s="868">
        <v>22000000</v>
      </c>
      <c r="P23" s="869"/>
      <c r="Q23" s="866">
        <v>225</v>
      </c>
      <c r="R23" s="867"/>
      <c r="S23" s="868">
        <v>220</v>
      </c>
      <c r="T23" s="869"/>
      <c r="U23" s="868">
        <v>100000</v>
      </c>
      <c r="V23" s="869"/>
      <c r="W23" s="868">
        <v>22000000</v>
      </c>
      <c r="X23" s="869"/>
      <c r="Y23" s="866">
        <v>307</v>
      </c>
      <c r="Z23" s="867"/>
      <c r="AB23" s="11"/>
      <c r="AC23" s="12"/>
    </row>
    <row r="24" spans="1:256" s="43" customFormat="1" ht="11.25">
      <c r="A24" s="296" t="s">
        <v>48</v>
      </c>
      <c r="B24" s="295"/>
      <c r="C24" s="69">
        <v>8005</v>
      </c>
      <c r="D24" s="374">
        <v>10220</v>
      </c>
      <c r="E24" s="887"/>
      <c r="F24" s="888"/>
      <c r="G24" s="154" t="s">
        <v>838</v>
      </c>
      <c r="H24" s="374">
        <v>455461000</v>
      </c>
      <c r="I24" s="887"/>
      <c r="J24" s="888"/>
      <c r="K24" s="155" t="s">
        <v>839</v>
      </c>
      <c r="L24" s="374">
        <v>10220</v>
      </c>
      <c r="M24" s="887"/>
      <c r="N24" s="888"/>
      <c r="O24" s="69" t="s">
        <v>840</v>
      </c>
      <c r="P24" s="374">
        <v>548342000</v>
      </c>
      <c r="Q24" s="887"/>
      <c r="R24" s="888"/>
      <c r="S24" s="69" t="s">
        <v>841</v>
      </c>
      <c r="T24" s="374">
        <v>10220</v>
      </c>
      <c r="U24" s="887"/>
      <c r="V24" s="888"/>
      <c r="W24" s="69" t="s">
        <v>842</v>
      </c>
      <c r="X24" s="374">
        <v>1022000000</v>
      </c>
      <c r="Y24" s="887"/>
      <c r="Z24" s="888"/>
      <c r="AA24" s="1"/>
      <c r="AB24" s="11" t="s">
        <v>566</v>
      </c>
      <c r="AC24" s="12" t="b">
        <f>s052.07335=ele_s052_07335</f>
        <v>1</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3" customFormat="1" ht="11.25">
      <c r="A25" s="535"/>
      <c r="B25" s="401"/>
      <c r="C25" s="401"/>
      <c r="D25" s="383">
        <f>SUM(s052.00001)</f>
        <v>10220</v>
      </c>
      <c r="E25" s="401"/>
      <c r="F25" s="401"/>
      <c r="G25" s="581"/>
      <c r="H25" s="383">
        <f>SUM(s052.00003)</f>
        <v>455461000</v>
      </c>
      <c r="I25" s="67"/>
      <c r="J25" s="67"/>
      <c r="K25" s="67"/>
      <c r="L25" s="383">
        <f>SUM(s052.00005)</f>
        <v>10220</v>
      </c>
      <c r="M25" s="401"/>
      <c r="N25" s="401"/>
      <c r="O25" s="401"/>
      <c r="P25" s="383">
        <f>SUM(s052.00007)</f>
        <v>548342000</v>
      </c>
      <c r="Q25" s="401"/>
      <c r="R25" s="401"/>
      <c r="S25" s="401"/>
      <c r="T25" s="383">
        <f>SUM(s052.00009)</f>
        <v>10220</v>
      </c>
      <c r="U25" s="401"/>
      <c r="V25" s="401"/>
      <c r="W25" s="401"/>
      <c r="X25" s="383">
        <f>SUM(s052.00080)</f>
        <v>1022000000</v>
      </c>
      <c r="Y25" s="401"/>
      <c r="Z25" s="582"/>
      <c r="AA25" s="1"/>
      <c r="AB25" s="11" t="s">
        <v>567</v>
      </c>
      <c r="AC25" s="447" t="b">
        <f>s052.07345=ele_s052_07345</f>
        <v>1</v>
      </c>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9" s="1" customFormat="1" ht="11.25">
      <c r="A26" s="218" t="s">
        <v>898</v>
      </c>
      <c r="B26" s="218"/>
      <c r="C26" s="218"/>
      <c r="D26" s="218"/>
      <c r="E26" s="218" t="s">
        <v>1184</v>
      </c>
      <c r="F26" s="218"/>
      <c r="G26" s="218"/>
      <c r="H26" s="218"/>
      <c r="I26" s="218"/>
      <c r="J26" s="218"/>
      <c r="K26" s="218"/>
      <c r="L26" s="218"/>
      <c r="M26" s="218"/>
      <c r="N26" s="218"/>
      <c r="O26" s="218"/>
      <c r="P26" s="218"/>
      <c r="Q26" s="218"/>
      <c r="R26" s="218"/>
      <c r="S26" s="218"/>
      <c r="T26" s="549"/>
      <c r="U26" s="218"/>
      <c r="V26" s="218"/>
      <c r="W26" s="218"/>
      <c r="X26" s="218"/>
      <c r="Y26" s="218"/>
      <c r="Z26" s="219"/>
      <c r="AB26" s="11" t="s">
        <v>568</v>
      </c>
      <c r="AC26" s="12" t="b">
        <f>s052.07355=ele_s052_07355</f>
        <v>1</v>
      </c>
    </row>
    <row r="27" spans="1:256" s="1" customFormat="1" ht="11.25">
      <c r="A27" s="218" t="s">
        <v>2470</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9"/>
      <c r="AB27" s="11" t="s">
        <v>569</v>
      </c>
      <c r="AC27" s="12" t="b">
        <f>s052.07365=ele_s052_07365</f>
        <v>1</v>
      </c>
      <c r="IV27" s="7"/>
    </row>
    <row r="28" spans="1:256" s="1" customFormat="1" ht="11.25">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1"/>
      <c r="AA28" s="88"/>
      <c r="AB28" s="11" t="s">
        <v>570</v>
      </c>
      <c r="AC28" s="12" t="b">
        <f>s052.07375=ele_s052_07375</f>
        <v>1</v>
      </c>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1.25">
      <c r="A29" s="56" t="s">
        <v>1658</v>
      </c>
      <c r="B29" s="103"/>
      <c r="C29" s="103"/>
      <c r="D29" s="57"/>
      <c r="E29" s="103"/>
      <c r="F29" s="835"/>
      <c r="G29" s="835"/>
      <c r="H29" s="835"/>
      <c r="I29" s="835"/>
      <c r="J29" s="835"/>
      <c r="K29" s="835"/>
      <c r="L29" s="835"/>
      <c r="M29" s="835"/>
      <c r="N29" s="78"/>
      <c r="O29" s="78"/>
      <c r="P29" s="479"/>
      <c r="Q29" s="57"/>
      <c r="R29" s="287"/>
      <c r="S29" s="810" t="s">
        <v>49</v>
      </c>
      <c r="T29" s="810"/>
      <c r="U29" s="810"/>
      <c r="V29" s="810"/>
      <c r="W29" s="810"/>
      <c r="X29" s="810"/>
      <c r="Y29" s="58"/>
      <c r="Z29" s="390"/>
      <c r="AA29" s="93"/>
      <c r="AB29" s="159"/>
      <c r="IV29" s="1"/>
    </row>
    <row r="30" spans="1:256" ht="44.25" customHeight="1">
      <c r="A30" s="56" t="s">
        <v>1627</v>
      </c>
      <c r="B30" s="795" t="s">
        <v>984</v>
      </c>
      <c r="C30" s="795"/>
      <c r="D30" s="795"/>
      <c r="E30" s="795" t="s">
        <v>1630</v>
      </c>
      <c r="F30" s="795"/>
      <c r="G30" s="795" t="s">
        <v>1631</v>
      </c>
      <c r="H30" s="795"/>
      <c r="I30" s="795" t="s">
        <v>1632</v>
      </c>
      <c r="J30" s="795"/>
      <c r="K30" s="795" t="s">
        <v>2475</v>
      </c>
      <c r="L30" s="795"/>
      <c r="M30" s="795" t="s">
        <v>1195</v>
      </c>
      <c r="N30" s="795"/>
      <c r="O30" s="795" t="s">
        <v>1633</v>
      </c>
      <c r="P30" s="795"/>
      <c r="Q30" s="795" t="s">
        <v>1634</v>
      </c>
      <c r="R30" s="841"/>
      <c r="S30" s="816" t="s">
        <v>2304</v>
      </c>
      <c r="T30" s="795"/>
      <c r="U30" s="795" t="s">
        <v>866</v>
      </c>
      <c r="V30" s="795"/>
      <c r="W30" s="795" t="s">
        <v>1635</v>
      </c>
      <c r="X30" s="795"/>
      <c r="Y30" s="795" t="s">
        <v>1636</v>
      </c>
      <c r="Z30" s="84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7" s="1" customFormat="1" ht="11.25">
      <c r="A31" s="160">
        <v>9930</v>
      </c>
      <c r="B31" s="891">
        <v>9940</v>
      </c>
      <c r="C31" s="892"/>
      <c r="D31" s="893"/>
      <c r="E31" s="870" t="s">
        <v>2476</v>
      </c>
      <c r="F31" s="871"/>
      <c r="G31" s="870" t="s">
        <v>1531</v>
      </c>
      <c r="H31" s="871"/>
      <c r="I31" s="870" t="s">
        <v>1532</v>
      </c>
      <c r="J31" s="871"/>
      <c r="K31" s="870" t="s">
        <v>1533</v>
      </c>
      <c r="L31" s="871"/>
      <c r="M31" s="870" t="s">
        <v>1534</v>
      </c>
      <c r="N31" s="871"/>
      <c r="O31" s="870" t="s">
        <v>1535</v>
      </c>
      <c r="P31" s="871"/>
      <c r="Q31" s="870" t="s">
        <v>1536</v>
      </c>
      <c r="R31" s="871"/>
      <c r="S31" s="870" t="s">
        <v>1537</v>
      </c>
      <c r="T31" s="871"/>
      <c r="U31" s="870" t="s">
        <v>1540</v>
      </c>
      <c r="V31" s="871"/>
      <c r="W31" s="870" t="s">
        <v>1538</v>
      </c>
      <c r="X31" s="871"/>
      <c r="Y31" s="870" t="s">
        <v>1539</v>
      </c>
      <c r="Z31" s="871"/>
      <c r="AA31" s="43"/>
    </row>
    <row r="32" spans="1:26" s="34" customFormat="1" ht="11.25">
      <c r="A32" s="480" t="s">
        <v>2172</v>
      </c>
      <c r="B32" s="859" t="s">
        <v>2178</v>
      </c>
      <c r="C32" s="863"/>
      <c r="D32" s="860"/>
      <c r="E32" s="859" t="s">
        <v>607</v>
      </c>
      <c r="F32" s="860"/>
      <c r="G32" s="859" t="s">
        <v>2190</v>
      </c>
      <c r="H32" s="860"/>
      <c r="I32" s="861">
        <v>0.3</v>
      </c>
      <c r="J32" s="862"/>
      <c r="K32" s="861">
        <v>0.98</v>
      </c>
      <c r="L32" s="862"/>
      <c r="M32" s="859" t="s">
        <v>2191</v>
      </c>
      <c r="N32" s="860"/>
      <c r="O32" s="857">
        <v>43</v>
      </c>
      <c r="P32" s="858"/>
      <c r="Q32" s="857">
        <v>342000</v>
      </c>
      <c r="R32" s="858"/>
      <c r="S32" s="857">
        <v>278461000</v>
      </c>
      <c r="T32" s="858"/>
      <c r="U32" s="857">
        <v>20633000</v>
      </c>
      <c r="V32" s="858"/>
      <c r="W32" s="857">
        <v>0</v>
      </c>
      <c r="X32" s="858"/>
      <c r="Y32" s="857">
        <v>278461000</v>
      </c>
      <c r="Z32" s="858"/>
    </row>
    <row r="33" spans="1:26" s="34" customFormat="1" ht="11.25">
      <c r="A33" s="480" t="s">
        <v>2173</v>
      </c>
      <c r="B33" s="859" t="s">
        <v>2179</v>
      </c>
      <c r="C33" s="863"/>
      <c r="D33" s="860"/>
      <c r="E33" s="859" t="s">
        <v>1415</v>
      </c>
      <c r="F33" s="860"/>
      <c r="G33" s="859" t="s">
        <v>2190</v>
      </c>
      <c r="H33" s="860"/>
      <c r="I33" s="861">
        <v>0.4</v>
      </c>
      <c r="J33" s="862"/>
      <c r="K33" s="861">
        <v>1.08</v>
      </c>
      <c r="L33" s="862"/>
      <c r="M33" s="859" t="s">
        <v>2191</v>
      </c>
      <c r="N33" s="860"/>
      <c r="O33" s="857">
        <v>43</v>
      </c>
      <c r="P33" s="858"/>
      <c r="Q33" s="857">
        <v>66000</v>
      </c>
      <c r="R33" s="858"/>
      <c r="S33" s="857">
        <v>49000000</v>
      </c>
      <c r="T33" s="858"/>
      <c r="U33" s="857">
        <v>0</v>
      </c>
      <c r="V33" s="858"/>
      <c r="W33" s="857">
        <v>0</v>
      </c>
      <c r="X33" s="858"/>
      <c r="Y33" s="857">
        <v>49000000</v>
      </c>
      <c r="Z33" s="858"/>
    </row>
    <row r="34" spans="1:26" s="34" customFormat="1" ht="11.25">
      <c r="A34" s="480" t="s">
        <v>2174</v>
      </c>
      <c r="B34" s="859" t="s">
        <v>2180</v>
      </c>
      <c r="C34" s="863"/>
      <c r="D34" s="860"/>
      <c r="E34" s="859" t="s">
        <v>1415</v>
      </c>
      <c r="F34" s="860"/>
      <c r="G34" s="859" t="s">
        <v>2190</v>
      </c>
      <c r="H34" s="860"/>
      <c r="I34" s="861">
        <v>0.8</v>
      </c>
      <c r="J34" s="862"/>
      <c r="K34" s="861">
        <v>1.48</v>
      </c>
      <c r="L34" s="862"/>
      <c r="M34" s="859" t="s">
        <v>2191</v>
      </c>
      <c r="N34" s="860"/>
      <c r="O34" s="857">
        <v>43</v>
      </c>
      <c r="P34" s="858"/>
      <c r="Q34" s="857">
        <v>52000</v>
      </c>
      <c r="R34" s="858"/>
      <c r="S34" s="857">
        <v>28000000</v>
      </c>
      <c r="T34" s="858"/>
      <c r="U34" s="857">
        <v>0</v>
      </c>
      <c r="V34" s="858"/>
      <c r="W34" s="857">
        <v>0</v>
      </c>
      <c r="X34" s="858"/>
      <c r="Y34" s="857">
        <v>28000000</v>
      </c>
      <c r="Z34" s="858"/>
    </row>
    <row r="35" spans="1:26" s="34" customFormat="1" ht="11.25">
      <c r="A35" s="480" t="s">
        <v>2175</v>
      </c>
      <c r="B35" s="859" t="s">
        <v>2181</v>
      </c>
      <c r="C35" s="863"/>
      <c r="D35" s="860"/>
      <c r="E35" s="859" t="s">
        <v>1415</v>
      </c>
      <c r="F35" s="860"/>
      <c r="G35" s="859" t="s">
        <v>2190</v>
      </c>
      <c r="H35" s="860"/>
      <c r="I35" s="861">
        <v>0</v>
      </c>
      <c r="J35" s="862"/>
      <c r="K35" s="861">
        <v>1.98</v>
      </c>
      <c r="L35" s="862"/>
      <c r="M35" s="859" t="s">
        <v>2191</v>
      </c>
      <c r="N35" s="860"/>
      <c r="O35" s="857">
        <v>43</v>
      </c>
      <c r="P35" s="858"/>
      <c r="Q35" s="857">
        <v>89000</v>
      </c>
      <c r="R35" s="858"/>
      <c r="S35" s="857">
        <v>36000000</v>
      </c>
      <c r="T35" s="858"/>
      <c r="U35" s="857">
        <v>0</v>
      </c>
      <c r="V35" s="858"/>
      <c r="W35" s="857">
        <v>0</v>
      </c>
      <c r="X35" s="858"/>
      <c r="Y35" s="857">
        <v>36000000</v>
      </c>
      <c r="Z35" s="858"/>
    </row>
    <row r="36" spans="1:26" s="34" customFormat="1" ht="11.25">
      <c r="A36" s="480" t="s">
        <v>2176</v>
      </c>
      <c r="B36" s="859" t="s">
        <v>2182</v>
      </c>
      <c r="C36" s="863"/>
      <c r="D36" s="860"/>
      <c r="E36" s="859" t="s">
        <v>1415</v>
      </c>
      <c r="F36" s="860"/>
      <c r="G36" s="859" t="s">
        <v>2190</v>
      </c>
      <c r="H36" s="860"/>
      <c r="I36" s="861">
        <v>3.5</v>
      </c>
      <c r="J36" s="862"/>
      <c r="K36" s="861">
        <v>4.18</v>
      </c>
      <c r="L36" s="862"/>
      <c r="M36" s="859" t="s">
        <v>2191</v>
      </c>
      <c r="N36" s="860"/>
      <c r="O36" s="857">
        <v>43</v>
      </c>
      <c r="P36" s="858"/>
      <c r="Q36" s="857">
        <v>220000</v>
      </c>
      <c r="R36" s="858"/>
      <c r="S36" s="857">
        <v>42000000</v>
      </c>
      <c r="T36" s="858"/>
      <c r="U36" s="857">
        <v>0</v>
      </c>
      <c r="V36" s="858"/>
      <c r="W36" s="857">
        <v>0</v>
      </c>
      <c r="X36" s="858"/>
      <c r="Y36" s="857">
        <v>42000000</v>
      </c>
      <c r="Z36" s="858"/>
    </row>
    <row r="37" spans="1:26" s="34" customFormat="1" ht="11.25">
      <c r="A37" s="480" t="s">
        <v>2177</v>
      </c>
      <c r="B37" s="859" t="s">
        <v>2183</v>
      </c>
      <c r="C37" s="863"/>
      <c r="D37" s="860"/>
      <c r="E37" s="859" t="s">
        <v>1415</v>
      </c>
      <c r="F37" s="860"/>
      <c r="G37" s="859" t="s">
        <v>2190</v>
      </c>
      <c r="H37" s="860"/>
      <c r="I37" s="861">
        <v>0.5</v>
      </c>
      <c r="J37" s="862"/>
      <c r="K37" s="861">
        <v>1.18</v>
      </c>
      <c r="L37" s="862"/>
      <c r="M37" s="859" t="s">
        <v>2191</v>
      </c>
      <c r="N37" s="860"/>
      <c r="O37" s="857">
        <v>43</v>
      </c>
      <c r="P37" s="858"/>
      <c r="Q37" s="857">
        <v>33000</v>
      </c>
      <c r="R37" s="858"/>
      <c r="S37" s="857">
        <v>22000000</v>
      </c>
      <c r="T37" s="858"/>
      <c r="U37" s="857">
        <v>0</v>
      </c>
      <c r="V37" s="858"/>
      <c r="W37" s="857">
        <v>308000</v>
      </c>
      <c r="X37" s="858"/>
      <c r="Y37" s="857">
        <v>22000000</v>
      </c>
      <c r="Z37" s="858"/>
    </row>
    <row r="38" spans="1:256" s="43" customFormat="1" ht="11.25">
      <c r="A38" s="71" t="s">
        <v>48</v>
      </c>
      <c r="B38" s="297"/>
      <c r="C38" s="297"/>
      <c r="D38" s="297"/>
      <c r="E38" s="887"/>
      <c r="F38" s="888"/>
      <c r="G38" s="887"/>
      <c r="H38" s="888"/>
      <c r="I38" s="887"/>
      <c r="J38" s="888"/>
      <c r="K38" s="887"/>
      <c r="L38" s="888"/>
      <c r="M38" s="887"/>
      <c r="N38" s="888"/>
      <c r="O38" s="887"/>
      <c r="P38" s="888"/>
      <c r="Q38" s="66" t="s">
        <v>843</v>
      </c>
      <c r="R38" s="381">
        <v>802000</v>
      </c>
      <c r="S38" s="66" t="s">
        <v>844</v>
      </c>
      <c r="T38" s="381">
        <v>455461000</v>
      </c>
      <c r="U38" s="66" t="s">
        <v>845</v>
      </c>
      <c r="V38" s="381">
        <v>20633000</v>
      </c>
      <c r="W38" s="66" t="s">
        <v>846</v>
      </c>
      <c r="X38" s="381">
        <v>308000</v>
      </c>
      <c r="Y38" s="66" t="s">
        <v>847</v>
      </c>
      <c r="Z38" s="382">
        <v>455461000</v>
      </c>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43" customFormat="1" ht="11.25">
      <c r="A39" s="553"/>
      <c r="B39" s="535"/>
      <c r="C39" s="535"/>
      <c r="D39" s="535"/>
      <c r="E39" s="401"/>
      <c r="F39" s="401"/>
      <c r="G39" s="401"/>
      <c r="H39" s="401"/>
      <c r="I39" s="401"/>
      <c r="J39" s="401"/>
      <c r="K39" s="401"/>
      <c r="L39" s="401"/>
      <c r="M39" s="401"/>
      <c r="N39" s="401"/>
      <c r="O39" s="401"/>
      <c r="P39" s="401"/>
      <c r="Q39" s="401"/>
      <c r="R39" s="383">
        <f>SUM(s052.09993)</f>
        <v>802000</v>
      </c>
      <c r="S39" s="401"/>
      <c r="T39" s="383">
        <f>SUM(s052.09994)</f>
        <v>455461000</v>
      </c>
      <c r="U39" s="401"/>
      <c r="V39" s="383">
        <f>SUM(s052.09995)</f>
        <v>20633000</v>
      </c>
      <c r="W39" s="401"/>
      <c r="X39" s="383">
        <f>SUM(s052.09997)</f>
        <v>308000</v>
      </c>
      <c r="Y39" s="401"/>
      <c r="Z39" s="383">
        <f>SUM(s052.09998)</f>
        <v>455461000</v>
      </c>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6" s="1" customFormat="1" ht="11.25">
      <c r="A40" s="567" t="s">
        <v>2471</v>
      </c>
      <c r="B40" s="218"/>
      <c r="C40" s="218"/>
      <c r="D40" s="218"/>
      <c r="E40" s="218"/>
      <c r="F40" s="218"/>
      <c r="G40" s="218"/>
      <c r="H40" s="218"/>
      <c r="I40" s="218"/>
      <c r="J40" s="218"/>
      <c r="K40" s="218"/>
      <c r="L40" s="218"/>
      <c r="M40" s="218"/>
      <c r="N40" s="218"/>
      <c r="O40" s="218"/>
      <c r="P40" s="218"/>
      <c r="Q40" s="218"/>
      <c r="R40" s="218"/>
      <c r="S40" s="218"/>
      <c r="T40" s="549"/>
      <c r="U40" s="218"/>
      <c r="V40" s="218"/>
      <c r="W40" s="218"/>
      <c r="X40" s="218"/>
      <c r="Y40" s="218"/>
      <c r="Z40" s="219"/>
    </row>
    <row r="41" spans="1:26" s="1" customFormat="1" ht="11.25">
      <c r="A41" s="567" t="s">
        <v>865</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9"/>
    </row>
    <row r="42" spans="1:26" s="1" customFormat="1" ht="11.25">
      <c r="A42" s="567" t="s">
        <v>205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9"/>
    </row>
    <row r="43" spans="1:26" s="1" customFormat="1" ht="11.25">
      <c r="A43" s="567" t="s">
        <v>2478</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9"/>
    </row>
    <row r="44" spans="1:256" s="1" customFormat="1" ht="11.25">
      <c r="A44" s="567" t="s">
        <v>206</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9"/>
      <c r="IV44" s="7"/>
    </row>
    <row r="45" spans="1:256" s="1" customFormat="1" ht="11.25">
      <c r="A45" s="567" t="s">
        <v>207</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9"/>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8" ht="11.25">
      <c r="A46" s="567" t="s">
        <v>867</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9"/>
      <c r="AA46" s="1"/>
      <c r="AB46" s="1"/>
    </row>
    <row r="47" spans="1:28" ht="11.25">
      <c r="A47" s="656"/>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1"/>
      <c r="AA47" s="1"/>
      <c r="AB47" s="1"/>
    </row>
    <row r="48" spans="1:256" s="33" customFormat="1" ht="11.25">
      <c r="A48" s="56" t="s">
        <v>1657</v>
      </c>
      <c r="B48" s="103"/>
      <c r="C48" s="103"/>
      <c r="D48" s="103"/>
      <c r="E48" s="103"/>
      <c r="F48" s="103"/>
      <c r="G48" s="103"/>
      <c r="H48" s="103"/>
      <c r="I48" s="103"/>
      <c r="J48" s="655"/>
      <c r="K48" s="878" t="s">
        <v>1506</v>
      </c>
      <c r="L48" s="835"/>
      <c r="M48" s="835"/>
      <c r="N48" s="835"/>
      <c r="O48" s="835"/>
      <c r="P48" s="835"/>
      <c r="Q48" s="835"/>
      <c r="R48" s="879"/>
      <c r="S48" s="878" t="s">
        <v>1507</v>
      </c>
      <c r="T48" s="835"/>
      <c r="U48" s="835"/>
      <c r="V48" s="835"/>
      <c r="W48" s="835"/>
      <c r="X48" s="835"/>
      <c r="Y48" s="835"/>
      <c r="Z48" s="840"/>
      <c r="AA48" s="1"/>
      <c r="AB48" s="1"/>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1.25">
      <c r="A49" s="76"/>
      <c r="B49" s="161"/>
      <c r="C49" s="161"/>
      <c r="D49" s="77"/>
      <c r="E49" s="161"/>
      <c r="F49" s="77"/>
      <c r="G49" s="161"/>
      <c r="H49" s="77"/>
      <c r="I49" s="808" t="s">
        <v>1637</v>
      </c>
      <c r="J49" s="880"/>
      <c r="K49" s="878" t="s">
        <v>65</v>
      </c>
      <c r="L49" s="835"/>
      <c r="M49" s="835"/>
      <c r="N49" s="835"/>
      <c r="O49" s="835" t="s">
        <v>66</v>
      </c>
      <c r="P49" s="835"/>
      <c r="Q49" s="835"/>
      <c r="R49" s="879"/>
      <c r="S49" s="878" t="s">
        <v>65</v>
      </c>
      <c r="T49" s="835"/>
      <c r="U49" s="835"/>
      <c r="V49" s="835"/>
      <c r="W49" s="835" t="s">
        <v>66</v>
      </c>
      <c r="X49" s="835"/>
      <c r="Y49" s="835"/>
      <c r="Z49" s="840"/>
      <c r="AA49" s="44"/>
      <c r="IV49" s="1"/>
    </row>
    <row r="50" spans="1:255" ht="40.5" customHeight="1">
      <c r="A50" s="56" t="s">
        <v>1627</v>
      </c>
      <c r="B50" s="810" t="s">
        <v>984</v>
      </c>
      <c r="C50" s="810"/>
      <c r="D50" s="810"/>
      <c r="E50" s="810"/>
      <c r="F50" s="810"/>
      <c r="G50" s="810"/>
      <c r="H50" s="810"/>
      <c r="I50" s="810"/>
      <c r="J50" s="874"/>
      <c r="K50" s="881" t="s">
        <v>1638</v>
      </c>
      <c r="L50" s="795"/>
      <c r="M50" s="795" t="s">
        <v>1639</v>
      </c>
      <c r="N50" s="795"/>
      <c r="O50" s="795" t="s">
        <v>1638</v>
      </c>
      <c r="P50" s="795"/>
      <c r="Q50" s="795" t="s">
        <v>1640</v>
      </c>
      <c r="R50" s="886"/>
      <c r="S50" s="881" t="s">
        <v>1638</v>
      </c>
      <c r="T50" s="795"/>
      <c r="U50" s="795" t="s">
        <v>1639</v>
      </c>
      <c r="V50" s="795"/>
      <c r="W50" s="795" t="s">
        <v>1638</v>
      </c>
      <c r="X50" s="795"/>
      <c r="Y50" s="795" t="s">
        <v>1639</v>
      </c>
      <c r="Z50" s="84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6" s="1" customFormat="1" ht="11.25">
      <c r="A51" s="160">
        <v>7270</v>
      </c>
      <c r="B51" s="891">
        <v>7280</v>
      </c>
      <c r="C51" s="892"/>
      <c r="D51" s="892"/>
      <c r="E51" s="892"/>
      <c r="F51" s="892"/>
      <c r="G51" s="892"/>
      <c r="H51" s="893"/>
      <c r="I51" s="870" t="s">
        <v>848</v>
      </c>
      <c r="J51" s="871"/>
      <c r="K51" s="870" t="s">
        <v>849</v>
      </c>
      <c r="L51" s="871"/>
      <c r="M51" s="870" t="s">
        <v>850</v>
      </c>
      <c r="N51" s="871"/>
      <c r="O51" s="870" t="s">
        <v>851</v>
      </c>
      <c r="P51" s="871"/>
      <c r="Q51" s="870" t="s">
        <v>852</v>
      </c>
      <c r="R51" s="871"/>
      <c r="S51" s="870" t="s">
        <v>853</v>
      </c>
      <c r="T51" s="871"/>
      <c r="U51" s="870" t="s">
        <v>854</v>
      </c>
      <c r="V51" s="871"/>
      <c r="W51" s="870" t="s">
        <v>855</v>
      </c>
      <c r="X51" s="871"/>
      <c r="Y51" s="870" t="s">
        <v>856</v>
      </c>
      <c r="Z51" s="871"/>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482" customFormat="1" ht="11.25">
      <c r="A52" s="480" t="s">
        <v>2172</v>
      </c>
      <c r="B52" s="859" t="s">
        <v>2178</v>
      </c>
      <c r="C52" s="863"/>
      <c r="D52" s="863"/>
      <c r="E52" s="863"/>
      <c r="F52" s="863"/>
      <c r="G52" s="863"/>
      <c r="H52" s="860"/>
      <c r="I52" s="864">
        <v>50724</v>
      </c>
      <c r="J52" s="865"/>
      <c r="K52" s="857">
        <v>92881000</v>
      </c>
      <c r="L52" s="858"/>
      <c r="M52" s="857">
        <v>566539000</v>
      </c>
      <c r="N52" s="858"/>
      <c r="O52" s="857">
        <v>1739000</v>
      </c>
      <c r="P52" s="858"/>
      <c r="Q52" s="857">
        <v>34773000</v>
      </c>
      <c r="R52" s="858"/>
      <c r="S52" s="857">
        <f>+M52-K52</f>
        <v>473658000</v>
      </c>
      <c r="T52" s="858"/>
      <c r="U52" s="857">
        <f>+S52</f>
        <v>473658000</v>
      </c>
      <c r="V52" s="858"/>
      <c r="W52" s="857">
        <f>+Q52-O52</f>
        <v>33034000</v>
      </c>
      <c r="X52" s="858"/>
      <c r="Y52" s="857">
        <f>+W52</f>
        <v>33034000</v>
      </c>
      <c r="Z52" s="858"/>
      <c r="IV52" s="34"/>
    </row>
    <row r="53" spans="1:256" s="482" customFormat="1" ht="11.25">
      <c r="A53" s="480" t="s">
        <v>2173</v>
      </c>
      <c r="B53" s="859" t="s">
        <v>2179</v>
      </c>
      <c r="C53" s="863"/>
      <c r="D53" s="863"/>
      <c r="E53" s="863"/>
      <c r="F53" s="863"/>
      <c r="G53" s="863"/>
      <c r="H53" s="860"/>
      <c r="I53" s="864">
        <v>50724</v>
      </c>
      <c r="J53" s="865"/>
      <c r="K53" s="857">
        <v>0</v>
      </c>
      <c r="L53" s="858"/>
      <c r="M53" s="857">
        <v>0</v>
      </c>
      <c r="N53" s="858"/>
      <c r="O53" s="857">
        <v>270000</v>
      </c>
      <c r="P53" s="858"/>
      <c r="Q53" s="857">
        <v>2698000</v>
      </c>
      <c r="R53" s="858"/>
      <c r="S53" s="857">
        <v>0</v>
      </c>
      <c r="T53" s="858"/>
      <c r="U53" s="857">
        <v>0</v>
      </c>
      <c r="V53" s="858"/>
      <c r="W53" s="857">
        <f>+Q53-O53</f>
        <v>2428000</v>
      </c>
      <c r="X53" s="858"/>
      <c r="Y53" s="857">
        <f>+W53</f>
        <v>2428000</v>
      </c>
      <c r="Z53" s="858"/>
      <c r="IV53" s="34"/>
    </row>
    <row r="54" spans="1:256" s="482" customFormat="1" ht="11.25">
      <c r="A54" s="480" t="s">
        <v>2174</v>
      </c>
      <c r="B54" s="859" t="s">
        <v>2180</v>
      </c>
      <c r="C54" s="863"/>
      <c r="D54" s="863"/>
      <c r="E54" s="863"/>
      <c r="F54" s="863"/>
      <c r="G54" s="863"/>
      <c r="H54" s="860"/>
      <c r="I54" s="864">
        <v>50724</v>
      </c>
      <c r="J54" s="865"/>
      <c r="K54" s="857">
        <v>0</v>
      </c>
      <c r="L54" s="858"/>
      <c r="M54" s="857">
        <v>0</v>
      </c>
      <c r="N54" s="858"/>
      <c r="O54" s="857">
        <v>211000</v>
      </c>
      <c r="P54" s="858"/>
      <c r="Q54" s="857">
        <v>1770000</v>
      </c>
      <c r="R54" s="858"/>
      <c r="S54" s="857">
        <v>0</v>
      </c>
      <c r="T54" s="858"/>
      <c r="U54" s="857">
        <v>0</v>
      </c>
      <c r="V54" s="858"/>
      <c r="W54" s="857">
        <f>+Q54-O54</f>
        <v>1559000</v>
      </c>
      <c r="X54" s="858"/>
      <c r="Y54" s="857">
        <f>+W54</f>
        <v>1559000</v>
      </c>
      <c r="Z54" s="858"/>
      <c r="IV54" s="34"/>
    </row>
    <row r="55" spans="1:256" s="482" customFormat="1" ht="11.25">
      <c r="A55" s="480" t="s">
        <v>2175</v>
      </c>
      <c r="B55" s="859" t="s">
        <v>2181</v>
      </c>
      <c r="C55" s="863"/>
      <c r="D55" s="863"/>
      <c r="E55" s="863"/>
      <c r="F55" s="863"/>
      <c r="G55" s="863"/>
      <c r="H55" s="860"/>
      <c r="I55" s="864">
        <v>50724</v>
      </c>
      <c r="J55" s="865"/>
      <c r="K55" s="857">
        <v>0</v>
      </c>
      <c r="L55" s="858"/>
      <c r="M55" s="857">
        <v>0</v>
      </c>
      <c r="N55" s="858"/>
      <c r="O55" s="857">
        <v>362000</v>
      </c>
      <c r="P55" s="858"/>
      <c r="Q55" s="857">
        <v>2642000</v>
      </c>
      <c r="R55" s="858"/>
      <c r="S55" s="857">
        <v>0</v>
      </c>
      <c r="T55" s="858"/>
      <c r="U55" s="857">
        <v>0</v>
      </c>
      <c r="V55" s="858"/>
      <c r="W55" s="857">
        <f>+Q55-O55</f>
        <v>2280000</v>
      </c>
      <c r="X55" s="858"/>
      <c r="Y55" s="857">
        <f>+W55</f>
        <v>2280000</v>
      </c>
      <c r="Z55" s="858"/>
      <c r="IV55" s="34"/>
    </row>
    <row r="56" spans="1:256" s="482" customFormat="1" ht="11.25">
      <c r="A56" s="480" t="s">
        <v>2176</v>
      </c>
      <c r="B56" s="859" t="s">
        <v>2182</v>
      </c>
      <c r="C56" s="863"/>
      <c r="D56" s="863"/>
      <c r="E56" s="863"/>
      <c r="F56" s="863"/>
      <c r="G56" s="863"/>
      <c r="H56" s="860"/>
      <c r="I56" s="864">
        <v>50724</v>
      </c>
      <c r="J56" s="865"/>
      <c r="K56" s="857">
        <v>0</v>
      </c>
      <c r="L56" s="858"/>
      <c r="M56" s="857">
        <v>0</v>
      </c>
      <c r="N56" s="858"/>
      <c r="O56" s="857">
        <v>889000</v>
      </c>
      <c r="P56" s="858"/>
      <c r="Q56" s="857">
        <v>4963000</v>
      </c>
      <c r="R56" s="858"/>
      <c r="S56" s="857">
        <v>0</v>
      </c>
      <c r="T56" s="858"/>
      <c r="U56" s="857">
        <v>0</v>
      </c>
      <c r="V56" s="858"/>
      <c r="W56" s="857">
        <f>+Q56-O56</f>
        <v>4074000</v>
      </c>
      <c r="X56" s="858"/>
      <c r="Y56" s="857">
        <f>+W56</f>
        <v>4074000</v>
      </c>
      <c r="Z56" s="858"/>
      <c r="IV56" s="34"/>
    </row>
    <row r="57" spans="1:256" s="482" customFormat="1" ht="11.25">
      <c r="A57" s="480" t="s">
        <v>2177</v>
      </c>
      <c r="B57" s="859" t="s">
        <v>2183</v>
      </c>
      <c r="C57" s="863"/>
      <c r="D57" s="863"/>
      <c r="E57" s="863"/>
      <c r="F57" s="863"/>
      <c r="G57" s="863"/>
      <c r="H57" s="860"/>
      <c r="I57" s="864">
        <v>50724</v>
      </c>
      <c r="J57" s="865"/>
      <c r="K57" s="857">
        <v>0</v>
      </c>
      <c r="L57" s="858"/>
      <c r="M57" s="857">
        <v>0</v>
      </c>
      <c r="N57" s="858"/>
      <c r="O57" s="857">
        <v>0</v>
      </c>
      <c r="P57" s="858"/>
      <c r="Q57" s="857">
        <v>1124000</v>
      </c>
      <c r="R57" s="858"/>
      <c r="S57" s="857">
        <v>0</v>
      </c>
      <c r="T57" s="858"/>
      <c r="U57" s="857">
        <v>0</v>
      </c>
      <c r="V57" s="858"/>
      <c r="W57" s="857">
        <f>+Q57-O57</f>
        <v>1124000</v>
      </c>
      <c r="X57" s="858"/>
      <c r="Y57" s="857">
        <f>+W57</f>
        <v>1124000</v>
      </c>
      <c r="Z57" s="858"/>
      <c r="IV57" s="34"/>
    </row>
    <row r="58" spans="1:256" s="43" customFormat="1" ht="11.25">
      <c r="A58" s="71" t="s">
        <v>48</v>
      </c>
      <c r="B58" s="882"/>
      <c r="C58" s="895"/>
      <c r="D58" s="895"/>
      <c r="E58" s="895"/>
      <c r="F58" s="895"/>
      <c r="G58" s="895"/>
      <c r="H58" s="883"/>
      <c r="I58" s="882"/>
      <c r="J58" s="883"/>
      <c r="K58" s="66" t="s">
        <v>857</v>
      </c>
      <c r="L58" s="380">
        <v>92881000</v>
      </c>
      <c r="M58" s="66" t="s">
        <v>858</v>
      </c>
      <c r="N58" s="380">
        <v>566539000</v>
      </c>
      <c r="O58" s="66" t="s">
        <v>859</v>
      </c>
      <c r="P58" s="380">
        <v>3471000</v>
      </c>
      <c r="Q58" s="66" t="s">
        <v>860</v>
      </c>
      <c r="R58" s="380">
        <v>47970000</v>
      </c>
      <c r="S58" s="66" t="s">
        <v>861</v>
      </c>
      <c r="T58" s="380">
        <v>473658000</v>
      </c>
      <c r="U58" s="66" t="s">
        <v>862</v>
      </c>
      <c r="V58" s="380">
        <v>473658000</v>
      </c>
      <c r="W58" s="66" t="s">
        <v>863</v>
      </c>
      <c r="X58" s="380">
        <v>44499000</v>
      </c>
      <c r="Y58" s="66" t="s">
        <v>864</v>
      </c>
      <c r="Z58" s="384">
        <v>44499000</v>
      </c>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3" customFormat="1" ht="11.25">
      <c r="A59" s="553"/>
      <c r="B59" s="554"/>
      <c r="C59" s="554"/>
      <c r="D59" s="554"/>
      <c r="E59" s="554"/>
      <c r="F59" s="554"/>
      <c r="G59" s="554"/>
      <c r="H59" s="554"/>
      <c r="I59" s="554"/>
      <c r="J59" s="554"/>
      <c r="K59" s="401"/>
      <c r="L59" s="383">
        <f>SUM(s052.07300)</f>
        <v>92881000</v>
      </c>
      <c r="M59" s="401"/>
      <c r="N59" s="383">
        <f>SUM(s052.07310)</f>
        <v>566539000</v>
      </c>
      <c r="O59" s="401"/>
      <c r="P59" s="383">
        <f>SUM(s052.07320)</f>
        <v>3471000</v>
      </c>
      <c r="Q59" s="401"/>
      <c r="R59" s="383">
        <f>SUM(s052.07330)</f>
        <v>47970000</v>
      </c>
      <c r="S59" s="401"/>
      <c r="T59" s="383">
        <f>SUM(s052.07340)</f>
        <v>473658000</v>
      </c>
      <c r="U59" s="401"/>
      <c r="V59" s="383">
        <f>SUM(s052.07350)</f>
        <v>473658000</v>
      </c>
      <c r="W59" s="401"/>
      <c r="X59" s="383">
        <f>SUM(s052.07360)</f>
        <v>44499000</v>
      </c>
      <c r="Y59" s="401"/>
      <c r="Z59" s="383">
        <f>SUM(s052.07370)</f>
        <v>44499000</v>
      </c>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6" s="1" customFormat="1" ht="11.25">
      <c r="A60" s="567" t="s">
        <v>2472</v>
      </c>
      <c r="B60" s="218"/>
      <c r="C60" s="218"/>
      <c r="D60" s="218"/>
      <c r="E60" s="218"/>
      <c r="F60" s="218"/>
      <c r="G60" s="218"/>
      <c r="H60" s="218"/>
      <c r="I60" s="218"/>
      <c r="J60" s="218"/>
      <c r="K60" s="218"/>
      <c r="L60" s="218"/>
      <c r="M60" s="218"/>
      <c r="N60" s="218"/>
      <c r="O60" s="218"/>
      <c r="P60" s="218"/>
      <c r="Q60" s="218"/>
      <c r="R60" s="549"/>
      <c r="S60" s="218"/>
      <c r="T60" s="218"/>
      <c r="U60" s="218"/>
      <c r="V60" s="218"/>
      <c r="W60" s="218"/>
      <c r="X60" s="218"/>
      <c r="Y60" s="218"/>
      <c r="Z60" s="219"/>
    </row>
    <row r="61" spans="1:26" s="1" customFormat="1" ht="11.25">
      <c r="A61" s="567" t="s">
        <v>208</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9"/>
    </row>
    <row r="62" spans="1:26" s="1" customFormat="1" ht="11.25">
      <c r="A62" s="567" t="s">
        <v>209</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9"/>
    </row>
    <row r="63" spans="1:26" s="1" customFormat="1" ht="11.25">
      <c r="A63" s="567" t="s">
        <v>94</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9"/>
    </row>
    <row r="64" spans="1:256" s="1" customFormat="1" ht="11.25">
      <c r="A64" s="566"/>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1"/>
      <c r="IV64" s="7"/>
    </row>
    <row r="65" spans="1:256" s="1" customFormat="1" ht="11.25">
      <c r="A65" s="56" t="s">
        <v>1655</v>
      </c>
      <c r="B65" s="57"/>
      <c r="C65" s="57"/>
      <c r="D65" s="57"/>
      <c r="E65" s="57"/>
      <c r="F65" s="57"/>
      <c r="G65" s="57"/>
      <c r="H65" s="57"/>
      <c r="I65" s="57"/>
      <c r="J65" s="57"/>
      <c r="K65" s="57"/>
      <c r="L65" s="57"/>
      <c r="M65" s="57"/>
      <c r="N65" s="657" t="s">
        <v>1669</v>
      </c>
      <c r="O65" s="57"/>
      <c r="P65" s="57"/>
      <c r="Q65" s="57"/>
      <c r="R65" s="57"/>
      <c r="S65" s="57"/>
      <c r="T65" s="57"/>
      <c r="U65" s="57"/>
      <c r="V65" s="658"/>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5" ht="44.25" customHeight="1">
      <c r="A66" s="71" t="s">
        <v>1627</v>
      </c>
      <c r="B66" s="816" t="s">
        <v>984</v>
      </c>
      <c r="C66" s="795"/>
      <c r="D66" s="795"/>
      <c r="E66" s="795"/>
      <c r="F66" s="795"/>
      <c r="G66" s="795"/>
      <c r="H66" s="841"/>
      <c r="I66" s="816" t="s">
        <v>211</v>
      </c>
      <c r="J66" s="795"/>
      <c r="K66" s="795"/>
      <c r="L66" s="795"/>
      <c r="M66" s="795" t="s">
        <v>1641</v>
      </c>
      <c r="N66" s="795"/>
      <c r="O66" s="795"/>
      <c r="P66" s="795"/>
      <c r="Q66" s="795" t="s">
        <v>460</v>
      </c>
      <c r="R66" s="795"/>
      <c r="S66" s="795" t="s">
        <v>212</v>
      </c>
      <c r="T66" s="795"/>
      <c r="U66" s="795" t="s">
        <v>1689</v>
      </c>
      <c r="V66" s="84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6" s="1" customFormat="1" ht="11.25">
      <c r="A67" s="160">
        <v>3300</v>
      </c>
      <c r="B67" s="891">
        <v>3301</v>
      </c>
      <c r="C67" s="892"/>
      <c r="D67" s="892"/>
      <c r="E67" s="892"/>
      <c r="F67" s="892"/>
      <c r="G67" s="892"/>
      <c r="H67" s="893"/>
      <c r="I67" s="870" t="s">
        <v>868</v>
      </c>
      <c r="J67" s="884"/>
      <c r="K67" s="884"/>
      <c r="L67" s="871"/>
      <c r="M67" s="870" t="s">
        <v>869</v>
      </c>
      <c r="N67" s="884"/>
      <c r="O67" s="884"/>
      <c r="P67" s="871"/>
      <c r="Q67" s="870" t="s">
        <v>870</v>
      </c>
      <c r="R67" s="871"/>
      <c r="S67" s="870" t="s">
        <v>871</v>
      </c>
      <c r="T67" s="871"/>
      <c r="U67" s="870" t="s">
        <v>872</v>
      </c>
      <c r="V67" s="871"/>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7" s="482" customFormat="1" ht="11.25">
      <c r="A68" s="485" t="s">
        <v>2172</v>
      </c>
      <c r="B68" s="859" t="s">
        <v>2178</v>
      </c>
      <c r="C68" s="863"/>
      <c r="D68" s="863"/>
      <c r="E68" s="863"/>
      <c r="F68" s="863"/>
      <c r="G68" s="863"/>
      <c r="H68" s="860"/>
      <c r="I68" s="485" t="s">
        <v>837</v>
      </c>
      <c r="J68" s="485"/>
      <c r="K68" s="485"/>
      <c r="L68" s="485"/>
      <c r="M68" s="859" t="s">
        <v>1704</v>
      </c>
      <c r="N68" s="863"/>
      <c r="O68" s="863"/>
      <c r="P68" s="860"/>
      <c r="Q68" s="859" t="s">
        <v>2184</v>
      </c>
      <c r="R68" s="860"/>
      <c r="S68" s="859" t="s">
        <v>2184</v>
      </c>
      <c r="T68" s="860"/>
      <c r="U68" s="859" t="s">
        <v>834</v>
      </c>
      <c r="V68" s="860"/>
      <c r="W68" s="34"/>
      <c r="X68" s="481"/>
      <c r="Y68" s="34"/>
      <c r="Z68" s="34"/>
      <c r="AA68" s="34"/>
    </row>
    <row r="69" spans="1:27" s="482" customFormat="1" ht="11.25">
      <c r="A69" s="691" t="s">
        <v>2173</v>
      </c>
      <c r="B69" s="863" t="s">
        <v>2179</v>
      </c>
      <c r="C69" s="863"/>
      <c r="D69" s="863"/>
      <c r="E69" s="863"/>
      <c r="F69" s="863"/>
      <c r="G69" s="863"/>
      <c r="H69" s="863"/>
      <c r="I69" s="485" t="s">
        <v>837</v>
      </c>
      <c r="J69" s="692"/>
      <c r="K69" s="692"/>
      <c r="L69" s="692"/>
      <c r="M69" s="863" t="s">
        <v>1704</v>
      </c>
      <c r="N69" s="863"/>
      <c r="O69" s="863"/>
      <c r="P69" s="863"/>
      <c r="Q69" s="863" t="s">
        <v>2185</v>
      </c>
      <c r="R69" s="863"/>
      <c r="S69" s="863" t="s">
        <v>2185</v>
      </c>
      <c r="T69" s="863"/>
      <c r="U69" s="863" t="s">
        <v>2184</v>
      </c>
      <c r="V69" s="860"/>
      <c r="W69" s="34"/>
      <c r="X69" s="481"/>
      <c r="Y69" s="34"/>
      <c r="Z69" s="34"/>
      <c r="AA69" s="34"/>
    </row>
    <row r="70" spans="1:27" s="482" customFormat="1" ht="11.25">
      <c r="A70" s="691" t="s">
        <v>2174</v>
      </c>
      <c r="B70" s="863" t="s">
        <v>2180</v>
      </c>
      <c r="C70" s="863"/>
      <c r="D70" s="863"/>
      <c r="E70" s="863"/>
      <c r="F70" s="863"/>
      <c r="G70" s="863"/>
      <c r="H70" s="863"/>
      <c r="I70" s="485" t="s">
        <v>837</v>
      </c>
      <c r="J70" s="692"/>
      <c r="K70" s="692"/>
      <c r="L70" s="692"/>
      <c r="M70" s="863" t="s">
        <v>1704</v>
      </c>
      <c r="N70" s="863"/>
      <c r="O70" s="863"/>
      <c r="P70" s="863"/>
      <c r="Q70" s="863" t="s">
        <v>2186</v>
      </c>
      <c r="R70" s="863"/>
      <c r="S70" s="863" t="s">
        <v>2186</v>
      </c>
      <c r="T70" s="863"/>
      <c r="U70" s="863" t="s">
        <v>835</v>
      </c>
      <c r="V70" s="860"/>
      <c r="W70" s="34"/>
      <c r="X70" s="481"/>
      <c r="Y70" s="34"/>
      <c r="Z70" s="34"/>
      <c r="AA70" s="34"/>
    </row>
    <row r="71" spans="1:27" s="482" customFormat="1" ht="11.25">
      <c r="A71" s="691" t="s">
        <v>2175</v>
      </c>
      <c r="B71" s="863" t="s">
        <v>2181</v>
      </c>
      <c r="C71" s="863"/>
      <c r="D71" s="863"/>
      <c r="E71" s="863"/>
      <c r="F71" s="863"/>
      <c r="G71" s="863"/>
      <c r="H71" s="863"/>
      <c r="I71" s="485" t="s">
        <v>837</v>
      </c>
      <c r="J71" s="692"/>
      <c r="K71" s="692"/>
      <c r="L71" s="692"/>
      <c r="M71" s="863" t="s">
        <v>1704</v>
      </c>
      <c r="N71" s="863"/>
      <c r="O71" s="863"/>
      <c r="P71" s="863"/>
      <c r="Q71" s="863" t="s">
        <v>2187</v>
      </c>
      <c r="R71" s="863"/>
      <c r="S71" s="863" t="s">
        <v>2187</v>
      </c>
      <c r="T71" s="863"/>
      <c r="U71" s="863" t="s">
        <v>836</v>
      </c>
      <c r="V71" s="860"/>
      <c r="W71" s="34"/>
      <c r="X71" s="481"/>
      <c r="Y71" s="34"/>
      <c r="Z71" s="34"/>
      <c r="AA71" s="34"/>
    </row>
    <row r="72" spans="1:27" s="482" customFormat="1" ht="11.25">
      <c r="A72" s="691" t="s">
        <v>2176</v>
      </c>
      <c r="B72" s="863" t="s">
        <v>2182</v>
      </c>
      <c r="C72" s="863"/>
      <c r="D72" s="863"/>
      <c r="E72" s="863"/>
      <c r="F72" s="863"/>
      <c r="G72" s="863"/>
      <c r="H72" s="863"/>
      <c r="I72" s="485" t="s">
        <v>837</v>
      </c>
      <c r="J72" s="692"/>
      <c r="K72" s="692"/>
      <c r="L72" s="692"/>
      <c r="M72" s="863" t="s">
        <v>1704</v>
      </c>
      <c r="N72" s="863"/>
      <c r="O72" s="863"/>
      <c r="P72" s="863"/>
      <c r="Q72" s="863" t="s">
        <v>2188</v>
      </c>
      <c r="R72" s="863"/>
      <c r="S72" s="863" t="s">
        <v>2188</v>
      </c>
      <c r="T72" s="863"/>
      <c r="U72" s="863" t="s">
        <v>2186</v>
      </c>
      <c r="V72" s="860"/>
      <c r="W72" s="34"/>
      <c r="X72" s="481"/>
      <c r="Y72" s="34"/>
      <c r="Z72" s="34"/>
      <c r="AA72" s="34"/>
    </row>
    <row r="73" spans="1:27" s="482" customFormat="1" ht="11.25">
      <c r="A73" s="691" t="s">
        <v>2177</v>
      </c>
      <c r="B73" s="863" t="s">
        <v>2183</v>
      </c>
      <c r="C73" s="863"/>
      <c r="D73" s="863"/>
      <c r="E73" s="863"/>
      <c r="F73" s="863"/>
      <c r="G73" s="863"/>
      <c r="H73" s="863"/>
      <c r="I73" s="692"/>
      <c r="J73" s="692"/>
      <c r="K73" s="692"/>
      <c r="L73" s="692"/>
      <c r="M73" s="863" t="s">
        <v>1704</v>
      </c>
      <c r="N73" s="863"/>
      <c r="O73" s="863"/>
      <c r="P73" s="863"/>
      <c r="Q73" s="863" t="s">
        <v>2189</v>
      </c>
      <c r="R73" s="863"/>
      <c r="S73" s="863" t="s">
        <v>2189</v>
      </c>
      <c r="T73" s="863"/>
      <c r="U73" s="863" t="s">
        <v>2189</v>
      </c>
      <c r="V73" s="860"/>
      <c r="W73" s="34"/>
      <c r="X73" s="481"/>
      <c r="Y73" s="34"/>
      <c r="Z73" s="34"/>
      <c r="AA73" s="34"/>
    </row>
    <row r="74" spans="1:256" ht="11.25">
      <c r="A74" s="659"/>
      <c r="B74" s="890"/>
      <c r="C74" s="890"/>
      <c r="D74" s="890"/>
      <c r="E74" s="890"/>
      <c r="F74" s="890"/>
      <c r="G74" s="890"/>
      <c r="H74" s="890"/>
      <c r="I74" s="894"/>
      <c r="J74" s="894"/>
      <c r="K74" s="894"/>
      <c r="L74" s="894"/>
      <c r="M74" s="885"/>
      <c r="N74" s="885"/>
      <c r="O74" s="885"/>
      <c r="P74" s="885"/>
      <c r="Q74" s="885"/>
      <c r="R74" s="885"/>
      <c r="S74" s="885"/>
      <c r="T74" s="885"/>
      <c r="U74" s="885"/>
      <c r="V74" s="889"/>
      <c r="W74" s="1"/>
      <c r="X74" s="164"/>
      <c r="Y74" s="1"/>
      <c r="Z74" s="1"/>
      <c r="AA74" s="1"/>
      <c r="IV74" s="1"/>
    </row>
    <row r="75" spans="1:256" s="1" customFormat="1" ht="11.25">
      <c r="A75" s="567" t="s">
        <v>2471</v>
      </c>
      <c r="B75" s="218"/>
      <c r="C75" s="218"/>
      <c r="D75" s="218"/>
      <c r="E75" s="218"/>
      <c r="F75" s="583"/>
      <c r="G75" s="218"/>
      <c r="H75" s="218"/>
      <c r="I75" s="218"/>
      <c r="J75" s="218"/>
      <c r="K75" s="218"/>
      <c r="L75" s="218"/>
      <c r="M75" s="218"/>
      <c r="N75" s="218"/>
      <c r="O75" s="218"/>
      <c r="P75" s="218"/>
      <c r="Q75" s="218"/>
      <c r="R75" s="218"/>
      <c r="S75" s="218"/>
      <c r="T75" s="218"/>
      <c r="U75" s="218"/>
      <c r="V75" s="219"/>
      <c r="AE75" s="43"/>
      <c r="AF75" s="43"/>
      <c r="AG75" s="43"/>
      <c r="AH75" s="43"/>
      <c r="AI75" s="43"/>
      <c r="AJ75" s="43"/>
      <c r="AK75" s="43"/>
      <c r="AL75" s="43"/>
      <c r="AM75" s="43"/>
      <c r="AN75" s="43"/>
      <c r="AO75" s="43"/>
      <c r="AP75" s="43"/>
      <c r="IV75" s="7"/>
    </row>
    <row r="76" spans="1:26" ht="11.25">
      <c r="A76" s="563" t="s">
        <v>213</v>
      </c>
      <c r="B76" s="270"/>
      <c r="C76" s="270"/>
      <c r="D76" s="270"/>
      <c r="E76" s="270"/>
      <c r="F76" s="584"/>
      <c r="G76" s="270"/>
      <c r="H76" s="270"/>
      <c r="I76" s="270"/>
      <c r="J76" s="270"/>
      <c r="K76" s="270"/>
      <c r="L76" s="270"/>
      <c r="M76" s="270"/>
      <c r="N76" s="270"/>
      <c r="O76" s="270"/>
      <c r="P76" s="270"/>
      <c r="Q76" s="270"/>
      <c r="R76" s="270"/>
      <c r="S76" s="270"/>
      <c r="T76" s="270"/>
      <c r="U76" s="270"/>
      <c r="V76" s="271"/>
      <c r="W76" s="1"/>
      <c r="X76" s="1"/>
      <c r="Y76" s="1"/>
      <c r="Z76" s="1"/>
    </row>
    <row r="77" spans="1:26" ht="11.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2" ht="11.25">
      <c r="A78" s="1"/>
      <c r="B78" s="1"/>
      <c r="C78" s="1"/>
      <c r="D78" s="1"/>
      <c r="E78" s="1"/>
      <c r="F78" s="1"/>
      <c r="G78" s="1"/>
      <c r="H78" s="1"/>
      <c r="I78" s="1"/>
      <c r="J78" s="1"/>
      <c r="K78" s="1"/>
      <c r="L78" s="1"/>
      <c r="M78" s="1"/>
      <c r="N78" s="1"/>
      <c r="O78" s="1"/>
      <c r="P78" s="1"/>
      <c r="Q78" s="1"/>
      <c r="R78" s="1"/>
      <c r="S78" s="1"/>
      <c r="T78" s="1"/>
      <c r="U78" s="1"/>
      <c r="V78" s="1"/>
    </row>
  </sheetData>
  <sheetProtection insertRows="0" deleteRows="0"/>
  <mergeCells count="346">
    <mergeCell ref="D9:E9"/>
    <mergeCell ref="W52:X52"/>
    <mergeCell ref="Y52:Z52"/>
    <mergeCell ref="S68:T68"/>
    <mergeCell ref="Q68:R68"/>
    <mergeCell ref="M68:P68"/>
    <mergeCell ref="U68:V68"/>
    <mergeCell ref="M52:N52"/>
    <mergeCell ref="O52:P52"/>
    <mergeCell ref="W31:X31"/>
    <mergeCell ref="W51:X51"/>
    <mergeCell ref="W50:X50"/>
    <mergeCell ref="S31:T31"/>
    <mergeCell ref="U31:V31"/>
    <mergeCell ref="U33:V33"/>
    <mergeCell ref="U34:V34"/>
    <mergeCell ref="U35:V35"/>
    <mergeCell ref="U36:V36"/>
    <mergeCell ref="U37:V37"/>
    <mergeCell ref="W37:X37"/>
    <mergeCell ref="Y18:Z18"/>
    <mergeCell ref="C18:D18"/>
    <mergeCell ref="E18:F18"/>
    <mergeCell ref="G18:H18"/>
    <mergeCell ref="I18:J18"/>
    <mergeCell ref="K18:L18"/>
    <mergeCell ref="M18:N18"/>
    <mergeCell ref="O18:P18"/>
    <mergeCell ref="W18:X18"/>
    <mergeCell ref="Q18:R18"/>
    <mergeCell ref="K32:L32"/>
    <mergeCell ref="I24:J24"/>
    <mergeCell ref="Q24:R24"/>
    <mergeCell ref="U24:V24"/>
    <mergeCell ref="F29:M29"/>
    <mergeCell ref="M30:N30"/>
    <mergeCell ref="Q31:R31"/>
    <mergeCell ref="M31:N31"/>
    <mergeCell ref="G31:H31"/>
    <mergeCell ref="I31:J31"/>
    <mergeCell ref="C17:D17"/>
    <mergeCell ref="M38:N38"/>
    <mergeCell ref="O38:P38"/>
    <mergeCell ref="M32:N32"/>
    <mergeCell ref="O32:P32"/>
    <mergeCell ref="E24:F24"/>
    <mergeCell ref="M24:N24"/>
    <mergeCell ref="E32:F32"/>
    <mergeCell ref="G32:H32"/>
    <mergeCell ref="I32:J32"/>
    <mergeCell ref="B30:D30"/>
    <mergeCell ref="B50:H50"/>
    <mergeCell ref="B58:H58"/>
    <mergeCell ref="E38:F38"/>
    <mergeCell ref="G38:H38"/>
    <mergeCell ref="B52:H52"/>
    <mergeCell ref="B51:H51"/>
    <mergeCell ref="B32:D32"/>
    <mergeCell ref="B31:D31"/>
    <mergeCell ref="E31:F31"/>
    <mergeCell ref="Y24:Z24"/>
    <mergeCell ref="S29:X29"/>
    <mergeCell ref="O30:P30"/>
    <mergeCell ref="I52:J52"/>
    <mergeCell ref="K52:L52"/>
    <mergeCell ref="K38:L38"/>
    <mergeCell ref="W32:X32"/>
    <mergeCell ref="Q32:R32"/>
    <mergeCell ref="S32:T32"/>
    <mergeCell ref="U32:V32"/>
    <mergeCell ref="I38:J38"/>
    <mergeCell ref="U74:V74"/>
    <mergeCell ref="B74:H74"/>
    <mergeCell ref="B68:H68"/>
    <mergeCell ref="B66:H66"/>
    <mergeCell ref="B67:H67"/>
    <mergeCell ref="I67:L67"/>
    <mergeCell ref="I74:L74"/>
    <mergeCell ref="M74:P74"/>
    <mergeCell ref="Q74:R74"/>
    <mergeCell ref="S74:T74"/>
    <mergeCell ref="O50:P50"/>
    <mergeCell ref="Q50:R50"/>
    <mergeCell ref="S67:T67"/>
    <mergeCell ref="Q52:R52"/>
    <mergeCell ref="Q72:R72"/>
    <mergeCell ref="Q73:R73"/>
    <mergeCell ref="S72:T72"/>
    <mergeCell ref="S73:T73"/>
    <mergeCell ref="O53:P53"/>
    <mergeCell ref="U67:V67"/>
    <mergeCell ref="M67:P67"/>
    <mergeCell ref="Q67:R67"/>
    <mergeCell ref="S52:T52"/>
    <mergeCell ref="U52:V52"/>
    <mergeCell ref="M53:N53"/>
    <mergeCell ref="M54:N54"/>
    <mergeCell ref="M55:N55"/>
    <mergeCell ref="M56:N56"/>
    <mergeCell ref="M57:N57"/>
    <mergeCell ref="Y51:Z51"/>
    <mergeCell ref="I58:J58"/>
    <mergeCell ref="I66:L66"/>
    <mergeCell ref="M66:P66"/>
    <mergeCell ref="Q66:R66"/>
    <mergeCell ref="S66:T66"/>
    <mergeCell ref="U66:V66"/>
    <mergeCell ref="Q51:R51"/>
    <mergeCell ref="S51:T51"/>
    <mergeCell ref="U51:V51"/>
    <mergeCell ref="I51:J51"/>
    <mergeCell ref="K51:L51"/>
    <mergeCell ref="M51:N51"/>
    <mergeCell ref="O51:P51"/>
    <mergeCell ref="Y50:Z50"/>
    <mergeCell ref="I49:J50"/>
    <mergeCell ref="K49:N49"/>
    <mergeCell ref="O49:R49"/>
    <mergeCell ref="W49:Z49"/>
    <mergeCell ref="K50:L50"/>
    <mergeCell ref="S50:T50"/>
    <mergeCell ref="U50:V50"/>
    <mergeCell ref="M50:N50"/>
    <mergeCell ref="Y30:Z30"/>
    <mergeCell ref="S49:V49"/>
    <mergeCell ref="Y31:Z31"/>
    <mergeCell ref="K48:R48"/>
    <mergeCell ref="S48:Z48"/>
    <mergeCell ref="Q30:R30"/>
    <mergeCell ref="S30:T30"/>
    <mergeCell ref="U30:V30"/>
    <mergeCell ref="W30:X30"/>
    <mergeCell ref="Y32:Z32"/>
    <mergeCell ref="K31:L31"/>
    <mergeCell ref="E30:F30"/>
    <mergeCell ref="G30:H30"/>
    <mergeCell ref="K30:L30"/>
    <mergeCell ref="I30:J30"/>
    <mergeCell ref="D15:J15"/>
    <mergeCell ref="S16:T16"/>
    <mergeCell ref="E16:F16"/>
    <mergeCell ref="G16:H16"/>
    <mergeCell ref="I16:J16"/>
    <mergeCell ref="K16:L16"/>
    <mergeCell ref="K17:L17"/>
    <mergeCell ref="E17:F17"/>
    <mergeCell ref="G17:H17"/>
    <mergeCell ref="I17:J17"/>
    <mergeCell ref="S17:T17"/>
    <mergeCell ref="U17:V17"/>
    <mergeCell ref="O31:P31"/>
    <mergeCell ref="M16:N16"/>
    <mergeCell ref="O16:P16"/>
    <mergeCell ref="Q16:R16"/>
    <mergeCell ref="M17:N17"/>
    <mergeCell ref="S18:T18"/>
    <mergeCell ref="U18:V18"/>
    <mergeCell ref="O19:P19"/>
    <mergeCell ref="A1:H1"/>
    <mergeCell ref="W17:X17"/>
    <mergeCell ref="U16:V16"/>
    <mergeCell ref="Y17:Z17"/>
    <mergeCell ref="K15:R15"/>
    <mergeCell ref="S15:Z15"/>
    <mergeCell ref="W16:X16"/>
    <mergeCell ref="Y16:Z16"/>
    <mergeCell ref="O17:P17"/>
    <mergeCell ref="Q17:R17"/>
    <mergeCell ref="C23:D23"/>
    <mergeCell ref="E19:F19"/>
    <mergeCell ref="E20:F20"/>
    <mergeCell ref="E21:F21"/>
    <mergeCell ref="E22:F22"/>
    <mergeCell ref="E23:F23"/>
    <mergeCell ref="C19:D19"/>
    <mergeCell ref="C20:D20"/>
    <mergeCell ref="C21:D21"/>
    <mergeCell ref="C22:D22"/>
    <mergeCell ref="G23:H23"/>
    <mergeCell ref="I19:J19"/>
    <mergeCell ref="I20:J20"/>
    <mergeCell ref="I21:J21"/>
    <mergeCell ref="I22:J22"/>
    <mergeCell ref="I23:J23"/>
    <mergeCell ref="G19:H19"/>
    <mergeCell ref="G20:H20"/>
    <mergeCell ref="G21:H21"/>
    <mergeCell ref="G22:H22"/>
    <mergeCell ref="K23:L23"/>
    <mergeCell ref="M19:N19"/>
    <mergeCell ref="M20:N20"/>
    <mergeCell ref="M21:N21"/>
    <mergeCell ref="M22:N22"/>
    <mergeCell ref="M23:N23"/>
    <mergeCell ref="K19:L19"/>
    <mergeCell ref="K20:L20"/>
    <mergeCell ref="K21:L21"/>
    <mergeCell ref="K22:L22"/>
    <mergeCell ref="O20:P20"/>
    <mergeCell ref="O21:P21"/>
    <mergeCell ref="O22:P22"/>
    <mergeCell ref="O23:P23"/>
    <mergeCell ref="Q23:R23"/>
    <mergeCell ref="S19:T19"/>
    <mergeCell ref="S20:T20"/>
    <mergeCell ref="S21:T21"/>
    <mergeCell ref="S22:T22"/>
    <mergeCell ref="S23:T23"/>
    <mergeCell ref="Q19:R19"/>
    <mergeCell ref="Q20:R20"/>
    <mergeCell ref="Q21:R21"/>
    <mergeCell ref="Q22:R22"/>
    <mergeCell ref="U23:V23"/>
    <mergeCell ref="W19:X19"/>
    <mergeCell ref="W20:X20"/>
    <mergeCell ref="W21:X21"/>
    <mergeCell ref="W22:X22"/>
    <mergeCell ref="W23:X23"/>
    <mergeCell ref="U19:V19"/>
    <mergeCell ref="U20:V20"/>
    <mergeCell ref="U21:V21"/>
    <mergeCell ref="U22:V22"/>
    <mergeCell ref="Y19:Z19"/>
    <mergeCell ref="Y20:Z20"/>
    <mergeCell ref="Y21:Z21"/>
    <mergeCell ref="Y22:Z22"/>
    <mergeCell ref="Y23:Z23"/>
    <mergeCell ref="B69:H69"/>
    <mergeCell ref="B70:H70"/>
    <mergeCell ref="B71:H71"/>
    <mergeCell ref="Q69:R69"/>
    <mergeCell ref="Q70:R70"/>
    <mergeCell ref="Q71:R71"/>
    <mergeCell ref="S69:T69"/>
    <mergeCell ref="S70:T70"/>
    <mergeCell ref="S71:T71"/>
    <mergeCell ref="B72:H72"/>
    <mergeCell ref="B73:H73"/>
    <mergeCell ref="M69:P69"/>
    <mergeCell ref="M70:P70"/>
    <mergeCell ref="M71:P71"/>
    <mergeCell ref="M72:P72"/>
    <mergeCell ref="M73:P73"/>
    <mergeCell ref="U69:V69"/>
    <mergeCell ref="U70:V70"/>
    <mergeCell ref="U71:V71"/>
    <mergeCell ref="U72:V72"/>
    <mergeCell ref="U73:V73"/>
    <mergeCell ref="B53:H53"/>
    <mergeCell ref="B54:H54"/>
    <mergeCell ref="B55:H55"/>
    <mergeCell ref="B56:H56"/>
    <mergeCell ref="B57:H57"/>
    <mergeCell ref="I53:J53"/>
    <mergeCell ref="I54:J54"/>
    <mergeCell ref="I55:J55"/>
    <mergeCell ref="I56:J56"/>
    <mergeCell ref="I57:J57"/>
    <mergeCell ref="K53:L53"/>
    <mergeCell ref="K54:L54"/>
    <mergeCell ref="K55:L55"/>
    <mergeCell ref="K56:L56"/>
    <mergeCell ref="K57:L57"/>
    <mergeCell ref="O54:P54"/>
    <mergeCell ref="O55:P55"/>
    <mergeCell ref="O56:P56"/>
    <mergeCell ref="O57:P57"/>
    <mergeCell ref="Q57:R57"/>
    <mergeCell ref="S53:T53"/>
    <mergeCell ref="S54:T54"/>
    <mergeCell ref="S55:T55"/>
    <mergeCell ref="S56:T56"/>
    <mergeCell ref="S57:T57"/>
    <mergeCell ref="Q53:R53"/>
    <mergeCell ref="Q54:R54"/>
    <mergeCell ref="Q55:R55"/>
    <mergeCell ref="Q56:R56"/>
    <mergeCell ref="U57:V57"/>
    <mergeCell ref="W53:X53"/>
    <mergeCell ref="W54:X54"/>
    <mergeCell ref="W55:X55"/>
    <mergeCell ref="W56:X56"/>
    <mergeCell ref="W57:X57"/>
    <mergeCell ref="U53:V53"/>
    <mergeCell ref="U54:V54"/>
    <mergeCell ref="U55:V55"/>
    <mergeCell ref="U56:V56"/>
    <mergeCell ref="Y53:Z53"/>
    <mergeCell ref="Y54:Z54"/>
    <mergeCell ref="Y55:Z55"/>
    <mergeCell ref="Y56:Z56"/>
    <mergeCell ref="Y57:Z57"/>
    <mergeCell ref="B33:D33"/>
    <mergeCell ref="B34:D34"/>
    <mergeCell ref="B35:D35"/>
    <mergeCell ref="B36:D36"/>
    <mergeCell ref="B37:D37"/>
    <mergeCell ref="E33:F33"/>
    <mergeCell ref="E34:F34"/>
    <mergeCell ref="E35:F35"/>
    <mergeCell ref="E36:F36"/>
    <mergeCell ref="E37:F37"/>
    <mergeCell ref="G33:H33"/>
    <mergeCell ref="G34:H34"/>
    <mergeCell ref="G35:H35"/>
    <mergeCell ref="G36:H36"/>
    <mergeCell ref="G37:H37"/>
    <mergeCell ref="I37:J37"/>
    <mergeCell ref="K33:L33"/>
    <mergeCell ref="K34:L34"/>
    <mergeCell ref="K35:L35"/>
    <mergeCell ref="K36:L36"/>
    <mergeCell ref="K37:L37"/>
    <mergeCell ref="I33:J33"/>
    <mergeCell ref="I34:J34"/>
    <mergeCell ref="I35:J35"/>
    <mergeCell ref="I36:J36"/>
    <mergeCell ref="M37:N37"/>
    <mergeCell ref="O33:P33"/>
    <mergeCell ref="O34:P34"/>
    <mergeCell ref="O35:P35"/>
    <mergeCell ref="O36:P36"/>
    <mergeCell ref="O37:P37"/>
    <mergeCell ref="M33:N33"/>
    <mergeCell ref="M34:N34"/>
    <mergeCell ref="M35:N35"/>
    <mergeCell ref="M36:N36"/>
    <mergeCell ref="Q37:R37"/>
    <mergeCell ref="S33:T33"/>
    <mergeCell ref="S34:T34"/>
    <mergeCell ref="S35:T35"/>
    <mergeCell ref="S36:T36"/>
    <mergeCell ref="S37:T37"/>
    <mergeCell ref="Q33:R33"/>
    <mergeCell ref="Q34:R34"/>
    <mergeCell ref="Q35:R35"/>
    <mergeCell ref="Q36:R36"/>
    <mergeCell ref="Y37:Z37"/>
    <mergeCell ref="W33:X33"/>
    <mergeCell ref="W34:X34"/>
    <mergeCell ref="W35:X35"/>
    <mergeCell ref="W36:X36"/>
    <mergeCell ref="Y33:Z33"/>
    <mergeCell ref="Y34:Z34"/>
    <mergeCell ref="Y35:Z35"/>
    <mergeCell ref="Y36:Z36"/>
  </mergeCells>
  <conditionalFormatting sqref="L24">
    <cfRule type="expression" priority="1" dxfId="0" stopIfTrue="1">
      <formula>NOT(AC7)</formula>
    </cfRule>
  </conditionalFormatting>
  <conditionalFormatting sqref="D24">
    <cfRule type="expression" priority="2" dxfId="0" stopIfTrue="1">
      <formula>NOT(AC5)</formula>
    </cfRule>
  </conditionalFormatting>
  <conditionalFormatting sqref="H24">
    <cfRule type="expression" priority="3" dxfId="0" stopIfTrue="1">
      <formula>NOT(AC6)</formula>
    </cfRule>
  </conditionalFormatting>
  <conditionalFormatting sqref="P25">
    <cfRule type="expression" priority="4" dxfId="0" stopIfTrue="1">
      <formula>NOT(AC8)</formula>
    </cfRule>
  </conditionalFormatting>
  <conditionalFormatting sqref="P24">
    <cfRule type="expression" priority="5" dxfId="0" stopIfTrue="1">
      <formula>NOT(AC8)</formula>
    </cfRule>
  </conditionalFormatting>
  <conditionalFormatting sqref="T24">
    <cfRule type="expression" priority="6" dxfId="0" stopIfTrue="1">
      <formula>NOT(AC9)</formula>
    </cfRule>
  </conditionalFormatting>
  <conditionalFormatting sqref="X24">
    <cfRule type="expression" priority="7" dxfId="0" stopIfTrue="1">
      <formula>NOT(AC10)</formula>
    </cfRule>
  </conditionalFormatting>
  <conditionalFormatting sqref="R38">
    <cfRule type="expression" priority="8" dxfId="0" stopIfTrue="1">
      <formula>NOT(AC11)</formula>
    </cfRule>
  </conditionalFormatting>
  <conditionalFormatting sqref="T38">
    <cfRule type="expression" priority="9" dxfId="0" stopIfTrue="1">
      <formula>NOT(AC12)</formula>
    </cfRule>
  </conditionalFormatting>
  <conditionalFormatting sqref="V38">
    <cfRule type="expression" priority="10" dxfId="0" stopIfTrue="1">
      <formula>NOT(AC13)</formula>
    </cfRule>
  </conditionalFormatting>
  <conditionalFormatting sqref="X38">
    <cfRule type="expression" priority="11" dxfId="0" stopIfTrue="1">
      <formula>NOT(AC14)</formula>
    </cfRule>
  </conditionalFormatting>
  <conditionalFormatting sqref="Z38">
    <cfRule type="expression" priority="12" dxfId="0" stopIfTrue="1">
      <formula>NOT(AC2)</formula>
    </cfRule>
    <cfRule type="expression" priority="13" dxfId="0" stopIfTrue="1">
      <formula>NOT(AC15)</formula>
    </cfRule>
  </conditionalFormatting>
  <conditionalFormatting sqref="L58">
    <cfRule type="expression" priority="14" dxfId="0" stopIfTrue="1">
      <formula>NOT(AC16)</formula>
    </cfRule>
  </conditionalFormatting>
  <conditionalFormatting sqref="N58">
    <cfRule type="expression" priority="15" dxfId="0" stopIfTrue="1">
      <formula>NOT(AC3)</formula>
    </cfRule>
    <cfRule type="expression" priority="16" dxfId="0" stopIfTrue="1">
      <formula>NOT(AC17)</formula>
    </cfRule>
  </conditionalFormatting>
  <conditionalFormatting sqref="P58">
    <cfRule type="expression" priority="17" dxfId="0" stopIfTrue="1">
      <formula>NOT(AC18)</formula>
    </cfRule>
  </conditionalFormatting>
  <conditionalFormatting sqref="T58">
    <cfRule type="expression" priority="18" dxfId="0" stopIfTrue="1">
      <formula>NOT(AC25)</formula>
    </cfRule>
  </conditionalFormatting>
  <conditionalFormatting sqref="V58">
    <cfRule type="expression" priority="19" dxfId="0" stopIfTrue="1">
      <formula>NOT(AC26)</formula>
    </cfRule>
  </conditionalFormatting>
  <conditionalFormatting sqref="X58">
    <cfRule type="expression" priority="20" dxfId="0" stopIfTrue="1">
      <formula>NOT(AC27)</formula>
    </cfRule>
  </conditionalFormatting>
  <conditionalFormatting sqref="Z58">
    <cfRule type="expression" priority="21" dxfId="0" stopIfTrue="1">
      <formula>NOT(AC28)</formula>
    </cfRule>
  </conditionalFormatting>
  <conditionalFormatting sqref="R58">
    <cfRule type="expression" priority="22" dxfId="0" stopIfTrue="1">
      <formula>NOT(AC4)</formula>
    </cfRule>
    <cfRule type="expression" priority="23" dxfId="0" stopIfTrue="1">
      <formula>NOT(AC24)</formula>
    </cfRule>
  </conditionalFormatting>
  <conditionalFormatting sqref="AC2:AC28">
    <cfRule type="cellIs" priority="24" dxfId="0" operator="equal" stopIfTrue="1">
      <formula>FALSE</formula>
    </cfRule>
  </conditionalFormatting>
  <dataValidations count="7">
    <dataValidation type="list" allowBlank="1" showInputMessage="1" showErrorMessage="1" sqref="M68:M73 N69:P73">
      <formula1>$IO$2:$IO$4</formula1>
    </dataValidation>
    <dataValidation type="whole" operator="lessThanOrEqual" allowBlank="1" showInputMessage="1" showErrorMessage="1" errorTitle="Celda de Tipo Numérico Entero" sqref="Z58:Z59 R38:R39 D24:D25 H24:H25 L24:L25 P24:P25 T24:T25 X24:X25 T38:T39 W52:W57 Z38:Z39 X38:X39 V38:V39 X58:X59 W18:W23 V58:V59 T58:T59 R58:R59 P58:P59 N58:N59 L58:L59 O18:O23 G18:G23 C18:C23 E18:E23 K18:K23 M18:M23 S18:S23 U18:U23 K52:K57 M52:M57 O52:O57 Q52:Q57 S52:S57 U52:U57 Y32:Y37 O32:O37 Q32:Q37 S32:S37 U32:U37 W32:W37 Y52:Y57">
      <formula1>9.99999999999999E+39</formula1>
    </dataValidation>
    <dataValidation type="date" allowBlank="1" showInputMessage="1" showErrorMessage="1" errorTitle="Campo Fecha" error="Debe introducir una fecha válida con el formato dd/mm/yyyy." sqref="I52:I57">
      <formula1>36892</formula1>
      <formula2>2958465</formula2>
    </dataValidation>
    <dataValidation type="list" allowBlank="1" showInputMessage="1" showErrorMessage="1" sqref="M32:M37">
      <formula1>$IR$2:$IR$4</formula1>
    </dataValidation>
    <dataValidation type="list" allowBlank="1" showInputMessage="1" showErrorMessage="1" sqref="E32:E37">
      <formula1>$IQ$2:$IQ$3</formula1>
    </dataValidation>
    <dataValidation type="decimal" operator="lessThanOrEqual" allowBlank="1" showInputMessage="1" showErrorMessage="1" errorTitle="Celda de Tipo Numérico Decimal" sqref="Y18:Y23 Q18:Q23 I18:I23 I32:I37 K32:K37">
      <formula1>9.99999999999999E+58</formula1>
    </dataValidation>
    <dataValidation type="list" allowBlank="1" showInputMessage="1" showErrorMessage="1" sqref="D9">
      <formula1>$IV$2:$IV$9</formula1>
    </dataValidation>
  </dataValidations>
  <printOptions horizontalCentered="1"/>
  <pageMargins left="0.3937007874015748" right="0.2362204724409449" top="0.5905511811023623" bottom="0.5905511811023623" header="0" footer="0.3937007874015748"/>
  <pageSetup horizontalDpi="600" verticalDpi="600" orientation="landscape" paperSize="9" scale="45" r:id="rId2"/>
  <rowBreaks count="2" manualBreakCount="2">
    <brk id="27" max="255" man="1"/>
    <brk id="47" max="25" man="1"/>
  </rowBreaks>
  <ignoredErrors>
    <ignoredError sqref="Y58 W58 W51 M58 O58 Q58 S58 U58 I67 M67 Q67 S67 U67 C17 E17 G17 I17 K17 M17 O17 Q17 S17 U17 W17 Y17 U51 G24 K24 O24 S24 W24 S51 G31 I31 K31 M31 O31 Q31 S31 U31 W31 Y31 Q38 S38 U38 W38 Y38 Y51 K51 M51 O51 Q51" numberStoredAsText="1"/>
  </ignoredErrors>
  <legacyDrawing r:id="rId1"/>
</worksheet>
</file>

<file path=xl/worksheets/sheet8.xml><?xml version="1.0" encoding="utf-8"?>
<worksheet xmlns="http://schemas.openxmlformats.org/spreadsheetml/2006/main" xmlns:r="http://schemas.openxmlformats.org/officeDocument/2006/relationships">
  <sheetPr codeName="Hoja7"/>
  <dimension ref="A1:P40"/>
  <sheetViews>
    <sheetView zoomScale="90" zoomScaleNormal="90" zoomScaleSheetLayoutView="100" workbookViewId="0" topLeftCell="A4">
      <selection activeCell="C23" sqref="C23"/>
    </sheetView>
  </sheetViews>
  <sheetFormatPr defaultColWidth="11.421875" defaultRowHeight="12.75"/>
  <cols>
    <col min="1" max="1" width="55.8515625" style="7" customWidth="1"/>
    <col min="2" max="2" width="5.140625" style="7" customWidth="1"/>
    <col min="3" max="3" width="30.421875" style="7" customWidth="1"/>
    <col min="4" max="4" width="19.28125" style="7" customWidth="1"/>
    <col min="5" max="5" width="7.00390625" style="7" customWidth="1"/>
    <col min="6" max="6" width="29.57421875" style="7" customWidth="1"/>
    <col min="7" max="7" width="29.00390625" style="7" hidden="1" customWidth="1"/>
    <col min="8" max="8" width="21.421875" style="7" hidden="1" customWidth="1"/>
    <col min="9" max="14" width="9.140625" style="7" hidden="1" customWidth="1"/>
    <col min="15" max="15" width="22.421875" style="7" hidden="1" customWidth="1"/>
    <col min="16" max="19" width="9.140625" style="7" hidden="1" customWidth="1"/>
    <col min="20" max="16384" width="9.140625" style="7" customWidth="1"/>
  </cols>
  <sheetData>
    <row r="1" spans="1:16" ht="40.5" customHeight="1">
      <c r="A1" s="899" t="s">
        <v>897</v>
      </c>
      <c r="B1" s="899"/>
      <c r="C1" s="899"/>
      <c r="D1" s="899"/>
      <c r="E1" s="899"/>
      <c r="F1" s="899"/>
      <c r="G1" s="899"/>
      <c r="H1" s="900"/>
      <c r="O1" s="147" t="s">
        <v>932</v>
      </c>
      <c r="P1" s="397" t="s">
        <v>1789</v>
      </c>
    </row>
    <row r="2" spans="1:16" s="1" customFormat="1" ht="11.25">
      <c r="A2" s="228"/>
      <c r="B2" s="157"/>
      <c r="C2" s="157"/>
      <c r="D2" s="42"/>
      <c r="E2" s="901" t="s">
        <v>2316</v>
      </c>
      <c r="F2" s="902"/>
      <c r="O2" s="148" t="s">
        <v>115</v>
      </c>
      <c r="P2" s="3" t="s">
        <v>1788</v>
      </c>
    </row>
    <row r="3" spans="1:16" s="17" customFormat="1" ht="11.25">
      <c r="A3" s="19"/>
      <c r="B3" s="14"/>
      <c r="C3" s="202"/>
      <c r="D3" s="202"/>
      <c r="E3" s="202"/>
      <c r="F3" s="7"/>
      <c r="O3" s="148" t="s">
        <v>55</v>
      </c>
      <c r="P3" s="3" t="s">
        <v>525</v>
      </c>
    </row>
    <row r="4" spans="1:15" s="17" customFormat="1" ht="12.75">
      <c r="A4" s="398" t="s">
        <v>1588</v>
      </c>
      <c r="B4" s="906" t="str">
        <f>IF(ISBLANK(s000.00100),"",s000.00100)</f>
        <v>F.T.A. SANTANDER FINANCIACION 3</v>
      </c>
      <c r="C4" s="907"/>
      <c r="D4" s="907"/>
      <c r="E4" s="907"/>
      <c r="F4" s="908"/>
      <c r="G4" s="440" t="s">
        <v>1391</v>
      </c>
      <c r="H4" s="10" t="s">
        <v>1392</v>
      </c>
      <c r="O4" s="151" t="s">
        <v>56</v>
      </c>
    </row>
    <row r="5" spans="1:15" s="17" customFormat="1" ht="11.25">
      <c r="A5" s="400" t="s">
        <v>1589</v>
      </c>
      <c r="B5" s="903">
        <f>IF(ISBLANK(s000.00130),"",s000.00130)</f>
      </c>
      <c r="C5" s="904"/>
      <c r="D5" s="904"/>
      <c r="E5" s="904"/>
      <c r="F5" s="905"/>
      <c r="G5" s="441" t="s">
        <v>2445</v>
      </c>
      <c r="H5" s="12" t="b">
        <f>IF(AND(NOT(ISBLANK(s051.00050)),NOT(s051.00050=0)),s053.00020=(s053.00010/s051.00050),IF(AND(OR(ISBLANK(s053.00020),(s053.00020=0)),OR(ISBLANK(s053.00010),(s053.00010=0))),TRUE,FALSE))</f>
        <v>1</v>
      </c>
      <c r="O5" s="7"/>
    </row>
    <row r="6" spans="1:15" s="17" customFormat="1" ht="11.25">
      <c r="A6" s="400" t="s">
        <v>1590</v>
      </c>
      <c r="B6" s="903" t="str">
        <f>IF(ISBLANK(s000.00150),"",s000.00150)</f>
        <v>Santander de Titulizacion S.G.F.T., S.A</v>
      </c>
      <c r="C6" s="904"/>
      <c r="D6" s="904"/>
      <c r="E6" s="904"/>
      <c r="F6" s="905"/>
      <c r="O6" s="7"/>
    </row>
    <row r="7" spans="1:15" s="17" customFormat="1" ht="11.25">
      <c r="A7" s="400" t="s">
        <v>1880</v>
      </c>
      <c r="B7" s="903" t="str">
        <f>IF(ISBLANK(s000.00170),"",s000.00170)</f>
        <v>No</v>
      </c>
      <c r="C7" s="904"/>
      <c r="D7" s="904"/>
      <c r="E7" s="904"/>
      <c r="F7" s="905"/>
      <c r="O7" s="7"/>
    </row>
    <row r="8" spans="1:15" s="17" customFormat="1" ht="11.25">
      <c r="A8" s="400" t="s">
        <v>2232</v>
      </c>
      <c r="B8" s="909" t="str">
        <f>IF(ISBLANK(s000.00180),"",s000.00180)</f>
        <v>Primer Semestre</v>
      </c>
      <c r="C8" s="910"/>
      <c r="D8" s="910"/>
      <c r="E8" s="910"/>
      <c r="F8" s="911"/>
      <c r="O8" s="7"/>
    </row>
    <row r="9" spans="1:15" s="17" customFormat="1" ht="11.25">
      <c r="A9" s="403"/>
      <c r="B9" s="442"/>
      <c r="C9" s="443"/>
      <c r="D9" s="443"/>
      <c r="E9" s="444"/>
      <c r="F9" s="7"/>
      <c r="O9" s="7"/>
    </row>
    <row r="10" spans="1:15" s="1" customFormat="1" ht="22.5">
      <c r="A10" s="140" t="s">
        <v>586</v>
      </c>
      <c r="B10" s="66"/>
      <c r="C10" s="141" t="s">
        <v>1112</v>
      </c>
      <c r="D10" s="66"/>
      <c r="E10" s="912" t="s">
        <v>1507</v>
      </c>
      <c r="F10" s="913"/>
      <c r="O10" s="7"/>
    </row>
    <row r="11" spans="1:6" ht="11.25">
      <c r="A11" s="404" t="s">
        <v>1113</v>
      </c>
      <c r="B11" s="405" t="s">
        <v>927</v>
      </c>
      <c r="C11" s="406">
        <v>0</v>
      </c>
      <c r="D11" s="405">
        <f aca="true" t="shared" si="0" ref="D11:D23">1000+B11</f>
        <v>1010</v>
      </c>
      <c r="E11" s="914">
        <v>0</v>
      </c>
      <c r="F11" s="915"/>
    </row>
    <row r="12" spans="1:6" ht="22.5">
      <c r="A12" s="407" t="s">
        <v>1114</v>
      </c>
      <c r="B12" s="405" t="s">
        <v>928</v>
      </c>
      <c r="C12" s="408">
        <v>0</v>
      </c>
      <c r="D12" s="405">
        <f t="shared" si="0"/>
        <v>1020</v>
      </c>
      <c r="E12" s="916">
        <v>0</v>
      </c>
      <c r="F12" s="917"/>
    </row>
    <row r="13" spans="1:6" ht="11.25">
      <c r="A13" s="407" t="s">
        <v>98</v>
      </c>
      <c r="B13" s="405" t="s">
        <v>930</v>
      </c>
      <c r="C13" s="408">
        <v>4.4</v>
      </c>
      <c r="D13" s="405">
        <f t="shared" si="0"/>
        <v>1040</v>
      </c>
      <c r="E13" s="916">
        <v>4.41</v>
      </c>
      <c r="F13" s="917"/>
    </row>
    <row r="14" spans="1:6" ht="11.25">
      <c r="A14" s="407" t="s">
        <v>95</v>
      </c>
      <c r="B14" s="405" t="s">
        <v>1671</v>
      </c>
      <c r="C14" s="409" t="s">
        <v>1788</v>
      </c>
      <c r="D14" s="405">
        <f t="shared" si="0"/>
        <v>1050</v>
      </c>
      <c r="E14" s="918" t="s">
        <v>1788</v>
      </c>
      <c r="F14" s="919"/>
    </row>
    <row r="15" spans="1:6" ht="11.25">
      <c r="A15" s="407" t="s">
        <v>96</v>
      </c>
      <c r="B15" s="405" t="s">
        <v>1673</v>
      </c>
      <c r="C15" s="409" t="s">
        <v>525</v>
      </c>
      <c r="D15" s="405">
        <f t="shared" si="0"/>
        <v>1070</v>
      </c>
      <c r="E15" s="918" t="s">
        <v>525</v>
      </c>
      <c r="F15" s="919"/>
    </row>
    <row r="16" spans="1:6" ht="11.25">
      <c r="A16" s="407" t="s">
        <v>97</v>
      </c>
      <c r="B16" s="405" t="s">
        <v>1674</v>
      </c>
      <c r="C16" s="409" t="s">
        <v>525</v>
      </c>
      <c r="D16" s="405">
        <f t="shared" si="0"/>
        <v>1080</v>
      </c>
      <c r="E16" s="918" t="s">
        <v>525</v>
      </c>
      <c r="F16" s="919"/>
    </row>
    <row r="17" spans="1:6" ht="11.25">
      <c r="A17" s="407" t="s">
        <v>100</v>
      </c>
      <c r="B17" s="405" t="s">
        <v>1675</v>
      </c>
      <c r="C17" s="410">
        <v>0</v>
      </c>
      <c r="D17" s="405">
        <f t="shared" si="0"/>
        <v>1090</v>
      </c>
      <c r="E17" s="920">
        <v>0</v>
      </c>
      <c r="F17" s="921"/>
    </row>
    <row r="18" spans="1:6" ht="11.25">
      <c r="A18" s="407" t="s">
        <v>102</v>
      </c>
      <c r="B18" s="405" t="s">
        <v>1603</v>
      </c>
      <c r="C18" s="409" t="s">
        <v>525</v>
      </c>
      <c r="D18" s="405">
        <f t="shared" si="0"/>
        <v>1110</v>
      </c>
      <c r="E18" s="918" t="s">
        <v>525</v>
      </c>
      <c r="F18" s="919"/>
    </row>
    <row r="19" spans="1:6" ht="22.5">
      <c r="A19" s="407" t="s">
        <v>103</v>
      </c>
      <c r="B19" s="405" t="s">
        <v>1604</v>
      </c>
      <c r="C19" s="408">
        <v>67.63</v>
      </c>
      <c r="D19" s="405">
        <f t="shared" si="0"/>
        <v>1120</v>
      </c>
      <c r="E19" s="916">
        <v>29.45</v>
      </c>
      <c r="F19" s="917"/>
    </row>
    <row r="20" spans="1:6" ht="11.25">
      <c r="A20" s="407" t="s">
        <v>105</v>
      </c>
      <c r="B20" s="405" t="s">
        <v>1613</v>
      </c>
      <c r="C20" s="410">
        <v>0</v>
      </c>
      <c r="D20" s="405">
        <f t="shared" si="0"/>
        <v>1150</v>
      </c>
      <c r="E20" s="922">
        <v>0</v>
      </c>
      <c r="F20" s="923"/>
    </row>
    <row r="21" spans="1:6" ht="11.25">
      <c r="A21" s="407" t="s">
        <v>104</v>
      </c>
      <c r="B21" s="405" t="s">
        <v>1614</v>
      </c>
      <c r="C21" s="408">
        <v>0</v>
      </c>
      <c r="D21" s="405">
        <f t="shared" si="0"/>
        <v>1160</v>
      </c>
      <c r="E21" s="916">
        <v>0</v>
      </c>
      <c r="F21" s="917"/>
    </row>
    <row r="22" spans="1:6" ht="22.5">
      <c r="A22" s="407" t="s">
        <v>473</v>
      </c>
      <c r="B22" s="405" t="s">
        <v>1676</v>
      </c>
      <c r="C22" s="410">
        <v>0</v>
      </c>
      <c r="D22" s="405">
        <f t="shared" si="0"/>
        <v>1170</v>
      </c>
      <c r="E22" s="922">
        <v>0</v>
      </c>
      <c r="F22" s="923"/>
    </row>
    <row r="23" spans="1:6" ht="11.25">
      <c r="A23" s="411" t="s">
        <v>107</v>
      </c>
      <c r="B23" s="412" t="s">
        <v>1677</v>
      </c>
      <c r="C23" s="409" t="s">
        <v>525</v>
      </c>
      <c r="D23" s="412">
        <f t="shared" si="0"/>
        <v>1180</v>
      </c>
      <c r="E23" s="924" t="s">
        <v>525</v>
      </c>
      <c r="F23" s="925"/>
    </row>
    <row r="24" spans="1:15" ht="11.25" customHeight="1">
      <c r="A24" s="829" t="s">
        <v>99</v>
      </c>
      <c r="B24" s="830"/>
      <c r="C24" s="830"/>
      <c r="D24" s="830"/>
      <c r="E24" s="830"/>
      <c r="F24" s="831"/>
      <c r="O24" s="17"/>
    </row>
    <row r="25" spans="1:6" ht="11.25">
      <c r="A25" s="832"/>
      <c r="B25" s="833"/>
      <c r="C25" s="833"/>
      <c r="D25" s="833"/>
      <c r="E25" s="833"/>
      <c r="F25" s="834"/>
    </row>
    <row r="26" spans="1:6" ht="22.5">
      <c r="A26" s="574" t="s">
        <v>101</v>
      </c>
      <c r="B26" s="537"/>
      <c r="C26" s="537"/>
      <c r="D26" s="537"/>
      <c r="E26" s="834"/>
      <c r="F26" s="834"/>
    </row>
    <row r="27" spans="1:6" ht="11.25" customHeight="1">
      <c r="A27" s="832" t="s">
        <v>873</v>
      </c>
      <c r="B27" s="833"/>
      <c r="C27" s="833"/>
      <c r="D27" s="833"/>
      <c r="E27" s="833"/>
      <c r="F27" s="834"/>
    </row>
    <row r="28" spans="1:6" ht="11.25">
      <c r="A28" s="832"/>
      <c r="B28" s="833"/>
      <c r="C28" s="833"/>
      <c r="D28" s="833"/>
      <c r="E28" s="833"/>
      <c r="F28" s="834"/>
    </row>
    <row r="29" spans="1:6" ht="22.5">
      <c r="A29" s="570" t="s">
        <v>106</v>
      </c>
      <c r="B29" s="571"/>
      <c r="C29" s="571"/>
      <c r="D29" s="571"/>
      <c r="E29" s="848"/>
      <c r="F29" s="849"/>
    </row>
    <row r="30" spans="1:15" s="17" customFormat="1" ht="11.25">
      <c r="A30" s="445"/>
      <c r="B30" s="442"/>
      <c r="C30" s="443"/>
      <c r="D30" s="443"/>
      <c r="E30" s="443"/>
      <c r="F30" s="7"/>
      <c r="O30" s="7"/>
    </row>
    <row r="31" spans="1:6" ht="11.25">
      <c r="A31" s="413" t="s">
        <v>1185</v>
      </c>
      <c r="B31" s="66"/>
      <c r="C31" s="141" t="s">
        <v>58</v>
      </c>
      <c r="D31" s="414" t="s">
        <v>57</v>
      </c>
      <c r="E31" s="142"/>
      <c r="F31" s="446" t="s">
        <v>116</v>
      </c>
    </row>
    <row r="32" spans="1:6" ht="11.25">
      <c r="A32" s="407" t="s">
        <v>108</v>
      </c>
      <c r="B32" s="405" t="s">
        <v>932</v>
      </c>
      <c r="C32" s="415" t="s">
        <v>115</v>
      </c>
      <c r="D32" s="416" t="s">
        <v>1162</v>
      </c>
      <c r="E32" s="405" t="s">
        <v>338</v>
      </c>
      <c r="F32" s="652" t="s">
        <v>1163</v>
      </c>
    </row>
    <row r="33" spans="1:6" ht="11.25">
      <c r="A33" s="407" t="s">
        <v>112</v>
      </c>
      <c r="B33" s="405" t="s">
        <v>1117</v>
      </c>
      <c r="C33" s="417"/>
      <c r="D33" s="418"/>
      <c r="E33" s="405" t="s">
        <v>348</v>
      </c>
      <c r="F33" s="652" t="s">
        <v>1164</v>
      </c>
    </row>
    <row r="34" spans="1:6" ht="11.25">
      <c r="A34" s="407" t="s">
        <v>113</v>
      </c>
      <c r="B34" s="405" t="s">
        <v>1127</v>
      </c>
      <c r="C34" s="417"/>
      <c r="D34" s="418"/>
      <c r="E34" s="405" t="s">
        <v>349</v>
      </c>
      <c r="F34" s="652" t="s">
        <v>1164</v>
      </c>
    </row>
    <row r="35" spans="1:6" ht="11.25">
      <c r="A35" s="407" t="s">
        <v>114</v>
      </c>
      <c r="B35" s="405" t="s">
        <v>933</v>
      </c>
      <c r="C35" s="417"/>
      <c r="D35" s="418"/>
      <c r="E35" s="405" t="s">
        <v>352</v>
      </c>
      <c r="F35" s="652" t="s">
        <v>1164</v>
      </c>
    </row>
    <row r="36" spans="1:6" ht="11.25">
      <c r="A36" s="407" t="s">
        <v>940</v>
      </c>
      <c r="B36" s="405" t="s">
        <v>1733</v>
      </c>
      <c r="C36" s="417"/>
      <c r="D36" s="418"/>
      <c r="E36" s="405" t="s">
        <v>355</v>
      </c>
      <c r="F36" s="652" t="s">
        <v>1164</v>
      </c>
    </row>
    <row r="37" spans="1:6" ht="11.25">
      <c r="A37" s="407" t="s">
        <v>941</v>
      </c>
      <c r="B37" s="405" t="s">
        <v>242</v>
      </c>
      <c r="C37" s="417"/>
      <c r="D37" s="418"/>
      <c r="E37" s="405" t="s">
        <v>356</v>
      </c>
      <c r="F37" s="652" t="s">
        <v>1164</v>
      </c>
    </row>
    <row r="38" spans="1:6" ht="11.25">
      <c r="A38" s="419" t="s">
        <v>942</v>
      </c>
      <c r="B38" s="412" t="s">
        <v>243</v>
      </c>
      <c r="C38" s="420" t="s">
        <v>115</v>
      </c>
      <c r="D38" s="421" t="s">
        <v>1162</v>
      </c>
      <c r="E38" s="412" t="s">
        <v>357</v>
      </c>
      <c r="F38" s="653" t="s">
        <v>1163</v>
      </c>
    </row>
    <row r="39" spans="1:6" ht="11.25">
      <c r="A39" s="546" t="s">
        <v>109</v>
      </c>
      <c r="B39" s="377"/>
      <c r="C39" s="377"/>
      <c r="D39" s="377"/>
      <c r="E39" s="377"/>
      <c r="F39" s="378"/>
    </row>
    <row r="40" ht="11.25">
      <c r="A40" s="97"/>
    </row>
  </sheetData>
  <sheetProtection password="CE28" sheet="1" objects="1" scenarios="1"/>
  <mergeCells count="25">
    <mergeCell ref="E29:F29"/>
    <mergeCell ref="E22:F22"/>
    <mergeCell ref="E23:F23"/>
    <mergeCell ref="A24:F25"/>
    <mergeCell ref="E26:F26"/>
    <mergeCell ref="E19:F19"/>
    <mergeCell ref="E20:F20"/>
    <mergeCell ref="E21:F21"/>
    <mergeCell ref="A27:F28"/>
    <mergeCell ref="E15:F15"/>
    <mergeCell ref="E16:F16"/>
    <mergeCell ref="E17:F17"/>
    <mergeCell ref="E18:F18"/>
    <mergeCell ref="E11:F11"/>
    <mergeCell ref="E12:F12"/>
    <mergeCell ref="E13:F13"/>
    <mergeCell ref="E14:F14"/>
    <mergeCell ref="B6:F6"/>
    <mergeCell ref="B7:F7"/>
    <mergeCell ref="B8:F8"/>
    <mergeCell ref="E10:F10"/>
    <mergeCell ref="A1:H1"/>
    <mergeCell ref="E2:F2"/>
    <mergeCell ref="B5:F5"/>
    <mergeCell ref="B4:F4"/>
  </mergeCells>
  <conditionalFormatting sqref="H5">
    <cfRule type="cellIs" priority="1" dxfId="0" operator="equal" stopIfTrue="1">
      <formula>FALSE</formula>
    </cfRule>
  </conditionalFormatting>
  <conditionalFormatting sqref="C12">
    <cfRule type="expression" priority="2" dxfId="0" stopIfTrue="1">
      <formula>NOT($H$5)</formula>
    </cfRule>
  </conditionalFormatting>
  <dataValidations count="5">
    <dataValidation type="whole" operator="lessThanOrEqual" allowBlank="1" showInputMessage="1" showErrorMessage="1" errorTitle="Celda de Tipo Numérico Entero" sqref="C11 E22 C22 E20 C20 E17 C17 E11">
      <formula1>9.99999999999999E+37</formula1>
    </dataValidation>
    <dataValidation type="decimal" operator="lessThanOrEqual" allowBlank="1" showInputMessage="1" showErrorMessage="1" errorTitle="Celda de Tipo Numerico Decimal" sqref="C12:C13 E21 C21 E19 C19 E12:E13">
      <formula1>9.99999999999999E+45</formula1>
    </dataValidation>
    <dataValidation allowBlank="1" showInputMessage="1" showErrorMessage="1" errorTitle="Celda de Tipo Texto" sqref="D32:D38 F32:F38"/>
    <dataValidation type="list" allowBlank="1" showInputMessage="1" showErrorMessage="1" sqref="C32:C38">
      <formula1>$O$2:$O$4</formula1>
    </dataValidation>
    <dataValidation type="list" allowBlank="1" showInputMessage="1" showErrorMessage="1" errorTitle="Celda de Tipo Texto" sqref="C14 E14 C15 E15 C16 E16 C18 E18 C23 E23">
      <formula1>$P$2:$P$3</formula1>
    </dataValidation>
  </dataValidations>
  <printOptions horizontalCentered="1"/>
  <pageMargins left="0.3937007874015748" right="0.3937007874015748" top="0.5905511811023623" bottom="0.5905511811023623" header="0" footer="0.3937007874015748"/>
  <pageSetup horizontalDpi="600" verticalDpi="600" orientation="portrait" paperSize="9" scale="55" r:id="rId2"/>
  <legacyDrawing r:id="rId1"/>
</worksheet>
</file>

<file path=xl/worksheets/sheet9.xml><?xml version="1.0" encoding="utf-8"?>
<worksheet xmlns="http://schemas.openxmlformats.org/spreadsheetml/2006/main" xmlns:r="http://schemas.openxmlformats.org/officeDocument/2006/relationships">
  <sheetPr codeName="Hoja8"/>
  <dimension ref="A1:T75"/>
  <sheetViews>
    <sheetView zoomScale="90" zoomScaleNormal="90" zoomScaleSheetLayoutView="100" workbookViewId="0" topLeftCell="A1">
      <selection activeCell="A1" sqref="A1:H1"/>
    </sheetView>
  </sheetViews>
  <sheetFormatPr defaultColWidth="11.421875" defaultRowHeight="12.75"/>
  <cols>
    <col min="1" max="1" width="40.7109375" style="105" customWidth="1"/>
    <col min="2" max="2" width="35.28125" style="105" customWidth="1"/>
    <col min="3" max="3" width="24.8515625" style="105" customWidth="1"/>
    <col min="4" max="4" width="5.00390625" style="105" customWidth="1"/>
    <col min="5" max="5" width="22.140625" style="105" customWidth="1"/>
    <col min="6" max="6" width="5.7109375" style="105" customWidth="1"/>
    <col min="7" max="7" width="25.140625" style="105" customWidth="1"/>
    <col min="8" max="8" width="5.140625" style="105" customWidth="1"/>
    <col min="9" max="9" width="22.28125" style="105" customWidth="1"/>
    <col min="10" max="10" width="5.00390625" style="105" customWidth="1"/>
    <col min="11" max="11" width="23.28125" style="105" customWidth="1"/>
    <col min="12" max="12" width="5.140625" style="105" customWidth="1"/>
    <col min="13" max="13" width="21.140625" style="105" customWidth="1"/>
    <col min="14" max="14" width="7.140625" style="105" customWidth="1"/>
    <col min="15" max="15" width="19.28125" style="105" customWidth="1"/>
    <col min="16" max="16" width="5.00390625" style="105" customWidth="1"/>
    <col min="17" max="17" width="22.57421875" style="105" customWidth="1"/>
    <col min="18" max="18" width="15.00390625" style="105" customWidth="1"/>
    <col min="19" max="19" width="30.7109375" style="105" hidden="1" customWidth="1"/>
    <col min="20" max="20" width="19.28125" style="105" hidden="1" customWidth="1"/>
    <col min="21" max="22" width="0" style="105" hidden="1" customWidth="1"/>
    <col min="23" max="16384" width="11.421875" style="105" customWidth="1"/>
  </cols>
  <sheetData>
    <row r="1" spans="1:20" ht="40.5" customHeight="1">
      <c r="A1" s="710" t="s">
        <v>897</v>
      </c>
      <c r="B1" s="711"/>
      <c r="C1" s="711"/>
      <c r="D1" s="711"/>
      <c r="E1" s="711"/>
      <c r="F1" s="711"/>
      <c r="G1" s="711"/>
      <c r="H1" s="711"/>
      <c r="I1" s="505"/>
      <c r="J1" s="505"/>
      <c r="K1" s="505"/>
      <c r="L1" s="505"/>
      <c r="M1" s="505"/>
      <c r="N1" s="505"/>
      <c r="O1" s="505"/>
      <c r="P1" s="505"/>
      <c r="Q1" s="506"/>
      <c r="S1" s="440" t="s">
        <v>1391</v>
      </c>
      <c r="T1" s="10" t="s">
        <v>1392</v>
      </c>
    </row>
    <row r="2" spans="1:20" s="106" customFormat="1" ht="11.25">
      <c r="A2" s="504"/>
      <c r="B2" s="129"/>
      <c r="C2" s="129"/>
      <c r="D2" s="129"/>
      <c r="E2" s="129"/>
      <c r="F2" s="129"/>
      <c r="G2" s="129"/>
      <c r="H2" s="129"/>
      <c r="I2" s="502"/>
      <c r="J2" s="502"/>
      <c r="K2" s="502"/>
      <c r="L2" s="502"/>
      <c r="M2" s="502"/>
      <c r="N2" s="129"/>
      <c r="O2" s="502"/>
      <c r="P2" s="129"/>
      <c r="Q2" s="503" t="s">
        <v>2315</v>
      </c>
      <c r="S2" s="11" t="s">
        <v>2446</v>
      </c>
      <c r="T2" s="12" t="b">
        <f>s054.00120=s054.00100+s054.00110</f>
        <v>1</v>
      </c>
    </row>
    <row r="3" spans="1:20" s="106" customFormat="1" ht="11.25">
      <c r="A3" s="107"/>
      <c r="B3" s="107"/>
      <c r="C3" s="108"/>
      <c r="D3" s="107"/>
      <c r="E3" s="108"/>
      <c r="F3" s="107"/>
      <c r="G3" s="108"/>
      <c r="H3" s="107"/>
      <c r="I3" s="109"/>
      <c r="J3" s="109"/>
      <c r="K3" s="109"/>
      <c r="L3" s="109"/>
      <c r="M3" s="109"/>
      <c r="N3" s="107"/>
      <c r="O3" s="109"/>
      <c r="P3" s="107"/>
      <c r="Q3" s="109"/>
      <c r="S3" s="11" t="s">
        <v>2447</v>
      </c>
      <c r="T3" s="12" t="b">
        <f>s054.00220=s054.00200+s054.00210</f>
        <v>1</v>
      </c>
    </row>
    <row r="4" spans="1:20" s="106" customFormat="1" ht="11.25">
      <c r="A4" s="291" t="s">
        <v>1588</v>
      </c>
      <c r="B4" s="962" t="str">
        <f>IF(ISBLANK(s000.00100),"",s000.00100)</f>
        <v>F.T.A. SANTANDER FINANCIACION 3</v>
      </c>
      <c r="C4" s="963"/>
      <c r="D4" s="963"/>
      <c r="E4" s="963"/>
      <c r="F4" s="963"/>
      <c r="G4" s="963"/>
      <c r="H4" s="963"/>
      <c r="I4" s="963"/>
      <c r="J4" s="963"/>
      <c r="K4" s="963"/>
      <c r="L4" s="963"/>
      <c r="M4" s="963"/>
      <c r="N4" s="963"/>
      <c r="O4" s="963"/>
      <c r="P4" s="963"/>
      <c r="Q4" s="964"/>
      <c r="S4" s="11" t="s">
        <v>2448</v>
      </c>
      <c r="T4" s="12" t="b">
        <f>s054.00150=s054.00130+s054.00140</f>
        <v>1</v>
      </c>
    </row>
    <row r="5" spans="1:20" s="106" customFormat="1" ht="11.25">
      <c r="A5" s="292" t="s">
        <v>1589</v>
      </c>
      <c r="B5" s="965">
        <f>IF(ISBLANK(s000.00130),"",s000.00130)</f>
      </c>
      <c r="C5" s="966"/>
      <c r="D5" s="966"/>
      <c r="E5" s="966"/>
      <c r="F5" s="966"/>
      <c r="G5" s="966"/>
      <c r="H5" s="966"/>
      <c r="I5" s="966"/>
      <c r="J5" s="966"/>
      <c r="K5" s="966"/>
      <c r="L5" s="966"/>
      <c r="M5" s="966"/>
      <c r="N5" s="966"/>
      <c r="O5" s="966"/>
      <c r="P5" s="966"/>
      <c r="Q5" s="967"/>
      <c r="S5" s="11" t="s">
        <v>2449</v>
      </c>
      <c r="T5" s="12" t="b">
        <f>s054.00250=s054.00230+s054.00240</f>
        <v>1</v>
      </c>
    </row>
    <row r="6" spans="1:17" s="106" customFormat="1" ht="11.25">
      <c r="A6" s="292" t="s">
        <v>1590</v>
      </c>
      <c r="B6" s="965" t="str">
        <f>IF(ISBLANK(s000.00150),"",s000.00150)</f>
        <v>Santander de Titulizacion S.G.F.T., S.A</v>
      </c>
      <c r="C6" s="966"/>
      <c r="D6" s="966"/>
      <c r="E6" s="966"/>
      <c r="F6" s="966"/>
      <c r="G6" s="966"/>
      <c r="H6" s="966"/>
      <c r="I6" s="966"/>
      <c r="J6" s="966"/>
      <c r="K6" s="966"/>
      <c r="L6" s="966"/>
      <c r="M6" s="966"/>
      <c r="N6" s="966"/>
      <c r="O6" s="966"/>
      <c r="P6" s="966"/>
      <c r="Q6" s="967"/>
    </row>
    <row r="7" spans="1:17" s="106" customFormat="1" ht="11.25">
      <c r="A7" s="292" t="s">
        <v>1880</v>
      </c>
      <c r="B7" s="965" t="str">
        <f>IF(ISBLANK(s000.00170),"",s000.00170)</f>
        <v>No</v>
      </c>
      <c r="C7" s="966"/>
      <c r="D7" s="966"/>
      <c r="E7" s="966"/>
      <c r="F7" s="966"/>
      <c r="G7" s="966"/>
      <c r="H7" s="966"/>
      <c r="I7" s="966"/>
      <c r="J7" s="966"/>
      <c r="K7" s="966"/>
      <c r="L7" s="966"/>
      <c r="M7" s="966"/>
      <c r="N7" s="966"/>
      <c r="O7" s="966"/>
      <c r="P7" s="966"/>
      <c r="Q7" s="967"/>
    </row>
    <row r="8" spans="1:17" s="106" customFormat="1" ht="11.25">
      <c r="A8" s="293" t="s">
        <v>2232</v>
      </c>
      <c r="B8" s="969" t="str">
        <f>IF(ISBLANK(s000.00180),"",s000.00180)</f>
        <v>Primer Semestre</v>
      </c>
      <c r="C8" s="970"/>
      <c r="D8" s="970"/>
      <c r="E8" s="970"/>
      <c r="F8" s="970"/>
      <c r="G8" s="970"/>
      <c r="H8" s="970"/>
      <c r="I8" s="970"/>
      <c r="J8" s="970"/>
      <c r="K8" s="970"/>
      <c r="L8" s="970"/>
      <c r="M8" s="970"/>
      <c r="N8" s="970"/>
      <c r="O8" s="970"/>
      <c r="P8" s="970"/>
      <c r="Q8" s="971"/>
    </row>
    <row r="9" spans="1:17" s="106" customFormat="1" ht="11.25">
      <c r="A9" s="107"/>
      <c r="B9" s="107"/>
      <c r="C9" s="108"/>
      <c r="D9" s="107"/>
      <c r="E9" s="108"/>
      <c r="F9" s="107"/>
      <c r="G9" s="108"/>
      <c r="H9" s="107"/>
      <c r="I9" s="109"/>
      <c r="J9" s="109"/>
      <c r="K9" s="109"/>
      <c r="L9" s="109"/>
      <c r="M9" s="109"/>
      <c r="N9" s="107"/>
      <c r="O9" s="109"/>
      <c r="P9" s="107"/>
      <c r="Q9" s="109"/>
    </row>
    <row r="10" spans="1:17" ht="11.25">
      <c r="A10" s="110" t="s">
        <v>110</v>
      </c>
      <c r="B10" s="111"/>
      <c r="C10" s="111"/>
      <c r="D10" s="111"/>
      <c r="E10" s="111"/>
      <c r="F10" s="111"/>
      <c r="G10" s="111"/>
      <c r="H10" s="111"/>
      <c r="I10" s="111"/>
      <c r="J10" s="111"/>
      <c r="K10" s="111"/>
      <c r="L10" s="111"/>
      <c r="M10" s="111"/>
      <c r="N10" s="111"/>
      <c r="O10" s="111"/>
      <c r="P10" s="111"/>
      <c r="Q10" s="112"/>
    </row>
    <row r="11" spans="1:17" ht="11.25">
      <c r="A11" s="588"/>
      <c r="B11" s="585"/>
      <c r="C11" s="585"/>
      <c r="D11" s="585"/>
      <c r="E11" s="585"/>
      <c r="F11" s="585"/>
      <c r="G11" s="585"/>
      <c r="H11" s="585"/>
      <c r="I11" s="585"/>
      <c r="J11" s="585"/>
      <c r="K11" s="585"/>
      <c r="L11" s="585"/>
      <c r="M11" s="585"/>
      <c r="N11" s="585"/>
      <c r="O11" s="585"/>
      <c r="P11" s="585"/>
      <c r="Q11" s="589"/>
    </row>
    <row r="12" spans="1:17" ht="11.25">
      <c r="A12" s="590" t="s">
        <v>584</v>
      </c>
      <c r="B12" s="586"/>
      <c r="C12" s="587"/>
      <c r="D12" s="586"/>
      <c r="E12" s="587"/>
      <c r="F12" s="586"/>
      <c r="G12" s="587"/>
      <c r="H12" s="586"/>
      <c r="I12" s="587"/>
      <c r="J12" s="586"/>
      <c r="K12" s="587"/>
      <c r="L12" s="586"/>
      <c r="M12" s="587"/>
      <c r="N12" s="587"/>
      <c r="O12" s="587"/>
      <c r="P12" s="587"/>
      <c r="Q12" s="591"/>
    </row>
    <row r="13" spans="1:17" ht="11.25">
      <c r="A13" s="592"/>
      <c r="B13" s="593"/>
      <c r="C13" s="593"/>
      <c r="D13" s="593"/>
      <c r="E13" s="593"/>
      <c r="F13" s="593"/>
      <c r="G13" s="593"/>
      <c r="H13" s="593"/>
      <c r="I13" s="593"/>
      <c r="J13" s="593"/>
      <c r="K13" s="593"/>
      <c r="L13" s="593"/>
      <c r="M13" s="593"/>
      <c r="N13" s="594"/>
      <c r="O13" s="594"/>
      <c r="P13" s="594"/>
      <c r="Q13" s="595"/>
    </row>
    <row r="14" spans="1:17" ht="11.25">
      <c r="A14" s="114"/>
      <c r="B14" s="115"/>
      <c r="C14" s="115"/>
      <c r="D14" s="115"/>
      <c r="E14" s="115"/>
      <c r="F14" s="932" t="s">
        <v>1529</v>
      </c>
      <c r="G14" s="932"/>
      <c r="H14" s="932"/>
      <c r="I14" s="933"/>
      <c r="J14" s="932" t="s">
        <v>1619</v>
      </c>
      <c r="K14" s="932"/>
      <c r="L14" s="932"/>
      <c r="M14" s="932"/>
      <c r="N14" s="932"/>
      <c r="O14" s="932"/>
      <c r="P14" s="115"/>
      <c r="Q14" s="116"/>
    </row>
    <row r="15" spans="1:18" s="113" customFormat="1" ht="11.25">
      <c r="A15" s="117" t="s">
        <v>1620</v>
      </c>
      <c r="B15" s="934" t="s">
        <v>1319</v>
      </c>
      <c r="C15" s="934"/>
      <c r="D15" s="934" t="s">
        <v>1320</v>
      </c>
      <c r="E15" s="934"/>
      <c r="F15" s="934" t="s">
        <v>460</v>
      </c>
      <c r="G15" s="934"/>
      <c r="H15" s="934" t="s">
        <v>2398</v>
      </c>
      <c r="I15" s="934"/>
      <c r="J15" s="934" t="s">
        <v>460</v>
      </c>
      <c r="K15" s="934"/>
      <c r="L15" s="934" t="s">
        <v>2398</v>
      </c>
      <c r="M15" s="934"/>
      <c r="N15" s="934" t="s">
        <v>2399</v>
      </c>
      <c r="O15" s="934"/>
      <c r="P15" s="934" t="s">
        <v>2400</v>
      </c>
      <c r="Q15" s="968"/>
      <c r="R15" s="118"/>
    </row>
    <row r="16" spans="1:17" ht="22.5">
      <c r="A16" s="517" t="s">
        <v>577</v>
      </c>
      <c r="B16" s="119" t="s">
        <v>927</v>
      </c>
      <c r="C16" s="428"/>
      <c r="D16" s="119" t="s">
        <v>929</v>
      </c>
      <c r="E16" s="428"/>
      <c r="F16" s="119" t="s">
        <v>931</v>
      </c>
      <c r="G16" s="435"/>
      <c r="H16" s="119" t="s">
        <v>932</v>
      </c>
      <c r="I16" s="435"/>
      <c r="J16" s="119" t="s">
        <v>1128</v>
      </c>
      <c r="K16" s="428"/>
      <c r="L16" s="119" t="s">
        <v>1129</v>
      </c>
      <c r="M16" s="428"/>
      <c r="N16" s="119" t="s">
        <v>2045</v>
      </c>
      <c r="O16" s="428"/>
      <c r="P16" s="636"/>
      <c r="Q16" s="637"/>
    </row>
    <row r="17" spans="1:17" ht="11.25">
      <c r="A17" s="433" t="s">
        <v>90</v>
      </c>
      <c r="B17" s="636"/>
      <c r="C17" s="637"/>
      <c r="D17" s="636"/>
      <c r="E17" s="637"/>
      <c r="F17" s="119" t="s">
        <v>1603</v>
      </c>
      <c r="G17" s="435"/>
      <c r="H17" s="119" t="s">
        <v>1117</v>
      </c>
      <c r="I17" s="435"/>
      <c r="J17" s="119" t="s">
        <v>1570</v>
      </c>
      <c r="K17" s="428"/>
      <c r="L17" s="119" t="s">
        <v>255</v>
      </c>
      <c r="M17" s="428"/>
      <c r="N17" s="119" t="s">
        <v>2046</v>
      </c>
      <c r="O17" s="428"/>
      <c r="P17" s="636"/>
      <c r="Q17" s="637"/>
    </row>
    <row r="18" spans="1:17" s="121" customFormat="1" ht="11.25">
      <c r="A18" s="434" t="s">
        <v>93</v>
      </c>
      <c r="B18" s="671"/>
      <c r="C18" s="672"/>
      <c r="D18" s="671"/>
      <c r="E18" s="672"/>
      <c r="F18" s="494" t="s">
        <v>1604</v>
      </c>
      <c r="G18" s="436"/>
      <c r="H18" s="494" t="s">
        <v>1127</v>
      </c>
      <c r="I18" s="436"/>
      <c r="J18" s="494" t="s">
        <v>1609</v>
      </c>
      <c r="K18" s="430"/>
      <c r="L18" s="494" t="s">
        <v>265</v>
      </c>
      <c r="M18" s="430"/>
      <c r="N18" s="494" t="s">
        <v>2063</v>
      </c>
      <c r="O18" s="430"/>
      <c r="P18" s="494" t="s">
        <v>358</v>
      </c>
      <c r="Q18" s="438"/>
    </row>
    <row r="19" spans="1:17" ht="11.25">
      <c r="A19" s="640"/>
      <c r="B19" s="638"/>
      <c r="C19" s="638"/>
      <c r="D19" s="638"/>
      <c r="E19" s="638"/>
      <c r="F19" s="638"/>
      <c r="G19" s="639"/>
      <c r="H19" s="638"/>
      <c r="I19" s="639"/>
      <c r="J19" s="638"/>
      <c r="K19" s="639"/>
      <c r="L19" s="638"/>
      <c r="M19" s="639"/>
      <c r="N19" s="638"/>
      <c r="O19" s="639"/>
      <c r="P19" s="638"/>
      <c r="Q19" s="641"/>
    </row>
    <row r="20" spans="1:17" ht="11.25">
      <c r="A20" s="114" t="s">
        <v>91</v>
      </c>
      <c r="B20" s="119" t="s">
        <v>1671</v>
      </c>
      <c r="C20" s="429"/>
      <c r="D20" s="119" t="s">
        <v>1672</v>
      </c>
      <c r="E20" s="429"/>
      <c r="F20" s="119" t="s">
        <v>1605</v>
      </c>
      <c r="G20" s="435"/>
      <c r="H20" s="119" t="s">
        <v>933</v>
      </c>
      <c r="I20" s="435"/>
      <c r="J20" s="119" t="s">
        <v>1610</v>
      </c>
      <c r="K20" s="428"/>
      <c r="L20" s="119" t="s">
        <v>267</v>
      </c>
      <c r="M20" s="428"/>
      <c r="N20" s="119" t="s">
        <v>2064</v>
      </c>
      <c r="O20" s="428"/>
      <c r="P20" s="636"/>
      <c r="Q20" s="637"/>
    </row>
    <row r="21" spans="1:17" ht="11.25">
      <c r="A21" s="433" t="s">
        <v>92</v>
      </c>
      <c r="B21" s="636"/>
      <c r="C21" s="637"/>
      <c r="D21" s="636"/>
      <c r="E21" s="637"/>
      <c r="F21" s="119" t="s">
        <v>1612</v>
      </c>
      <c r="G21" s="435"/>
      <c r="H21" s="119" t="s">
        <v>1733</v>
      </c>
      <c r="I21" s="435"/>
      <c r="J21" s="119" t="s">
        <v>1499</v>
      </c>
      <c r="K21" s="428"/>
      <c r="L21" s="119" t="s">
        <v>268</v>
      </c>
      <c r="M21" s="428"/>
      <c r="N21" s="119" t="s">
        <v>1183</v>
      </c>
      <c r="O21" s="428"/>
      <c r="P21" s="636"/>
      <c r="Q21" s="637"/>
    </row>
    <row r="22" spans="1:17" s="121" customFormat="1" ht="11.25">
      <c r="A22" s="434" t="s">
        <v>89</v>
      </c>
      <c r="B22" s="671"/>
      <c r="C22" s="672"/>
      <c r="D22" s="671"/>
      <c r="E22" s="672"/>
      <c r="F22" s="494" t="s">
        <v>1613</v>
      </c>
      <c r="G22" s="436"/>
      <c r="H22" s="494" t="s">
        <v>242</v>
      </c>
      <c r="I22" s="436"/>
      <c r="J22" s="494" t="s">
        <v>244</v>
      </c>
      <c r="K22" s="430"/>
      <c r="L22" s="494" t="s">
        <v>266</v>
      </c>
      <c r="M22" s="430"/>
      <c r="N22" s="494" t="s">
        <v>328</v>
      </c>
      <c r="O22" s="430"/>
      <c r="P22" s="494" t="s">
        <v>359</v>
      </c>
      <c r="Q22" s="438"/>
    </row>
    <row r="23" spans="1:13" ht="11.25">
      <c r="A23" s="926" t="s">
        <v>2401</v>
      </c>
      <c r="B23" s="927"/>
      <c r="C23" s="927"/>
      <c r="D23" s="927"/>
      <c r="E23" s="927"/>
      <c r="F23" s="927"/>
      <c r="G23" s="927"/>
      <c r="H23" s="927"/>
      <c r="I23" s="927"/>
      <c r="J23" s="927"/>
      <c r="K23" s="927"/>
      <c r="L23" s="927"/>
      <c r="M23" s="928"/>
    </row>
    <row r="24" spans="1:13" ht="11.25">
      <c r="A24" s="929"/>
      <c r="B24" s="930"/>
      <c r="C24" s="930"/>
      <c r="D24" s="930"/>
      <c r="E24" s="930"/>
      <c r="F24" s="930"/>
      <c r="G24" s="930"/>
      <c r="H24" s="930"/>
      <c r="I24" s="930"/>
      <c r="J24" s="930"/>
      <c r="K24" s="930"/>
      <c r="L24" s="930"/>
      <c r="M24" s="931"/>
    </row>
    <row r="25" spans="1:13" ht="11.25">
      <c r="A25" s="940" t="s">
        <v>2402</v>
      </c>
      <c r="B25" s="930"/>
      <c r="C25" s="930"/>
      <c r="D25" s="930"/>
      <c r="E25" s="930"/>
      <c r="F25" s="930"/>
      <c r="G25" s="930"/>
      <c r="H25" s="930"/>
      <c r="I25" s="930"/>
      <c r="J25" s="930"/>
      <c r="K25" s="930"/>
      <c r="L25" s="930"/>
      <c r="M25" s="931"/>
    </row>
    <row r="26" spans="1:13" ht="11.25">
      <c r="A26" s="929"/>
      <c r="B26" s="930"/>
      <c r="C26" s="930"/>
      <c r="D26" s="930"/>
      <c r="E26" s="930"/>
      <c r="F26" s="930"/>
      <c r="G26" s="930"/>
      <c r="H26" s="930"/>
      <c r="I26" s="930"/>
      <c r="J26" s="930"/>
      <c r="K26" s="930"/>
      <c r="L26" s="930"/>
      <c r="M26" s="931"/>
    </row>
    <row r="27" spans="1:13" ht="11.25">
      <c r="A27" s="599"/>
      <c r="B27" s="600"/>
      <c r="C27" s="600"/>
      <c r="D27" s="600"/>
      <c r="E27" s="600"/>
      <c r="F27" s="600"/>
      <c r="G27" s="600"/>
      <c r="H27" s="600"/>
      <c r="I27" s="600"/>
      <c r="J27" s="600"/>
      <c r="K27" s="600"/>
      <c r="L27" s="600"/>
      <c r="M27" s="601"/>
    </row>
    <row r="28" spans="1:13" ht="11.25">
      <c r="A28" s="123"/>
      <c r="B28" s="124"/>
      <c r="C28" s="115"/>
      <c r="D28" s="124"/>
      <c r="E28" s="115"/>
      <c r="F28" s="932" t="s">
        <v>1619</v>
      </c>
      <c r="G28" s="932"/>
      <c r="H28" s="932"/>
      <c r="I28" s="932"/>
      <c r="J28" s="932"/>
      <c r="K28" s="932"/>
      <c r="L28" s="125"/>
      <c r="M28" s="126"/>
    </row>
    <row r="29" spans="1:13" ht="11.25">
      <c r="A29" s="127" t="s">
        <v>2473</v>
      </c>
      <c r="B29" s="128"/>
      <c r="C29" s="129"/>
      <c r="D29" s="128"/>
      <c r="E29" s="129"/>
      <c r="F29" s="935" t="s">
        <v>460</v>
      </c>
      <c r="G29" s="935"/>
      <c r="H29" s="935" t="s">
        <v>2398</v>
      </c>
      <c r="I29" s="935"/>
      <c r="J29" s="935" t="s">
        <v>2399</v>
      </c>
      <c r="K29" s="935"/>
      <c r="L29" s="935" t="s">
        <v>2400</v>
      </c>
      <c r="M29" s="936"/>
    </row>
    <row r="30" spans="1:13" ht="12.75" customHeight="1">
      <c r="A30" s="518" t="s">
        <v>2031</v>
      </c>
      <c r="B30" s="959"/>
      <c r="C30" s="960"/>
      <c r="D30" s="960"/>
      <c r="E30" s="961"/>
      <c r="F30" s="130" t="s">
        <v>1614</v>
      </c>
      <c r="G30" s="428"/>
      <c r="H30" s="119" t="s">
        <v>243</v>
      </c>
      <c r="I30" s="428"/>
      <c r="J30" s="119" t="s">
        <v>739</v>
      </c>
      <c r="K30" s="674"/>
      <c r="L30" s="119" t="s">
        <v>275</v>
      </c>
      <c r="M30" s="437"/>
    </row>
    <row r="31" spans="1:13" ht="11.25">
      <c r="A31" s="518" t="s">
        <v>2032</v>
      </c>
      <c r="B31" s="959"/>
      <c r="C31" s="960"/>
      <c r="D31" s="960"/>
      <c r="E31" s="961"/>
      <c r="F31" s="130" t="s">
        <v>1676</v>
      </c>
      <c r="G31" s="428"/>
      <c r="H31" s="119" t="s">
        <v>245</v>
      </c>
      <c r="I31" s="428"/>
      <c r="J31" s="119" t="s">
        <v>740</v>
      </c>
      <c r="K31" s="674"/>
      <c r="L31" s="119" t="s">
        <v>773</v>
      </c>
      <c r="M31" s="437"/>
    </row>
    <row r="32" spans="1:13" ht="11.25">
      <c r="A32" s="518" t="s">
        <v>578</v>
      </c>
      <c r="B32" s="959"/>
      <c r="C32" s="960"/>
      <c r="D32" s="960"/>
      <c r="E32" s="961"/>
      <c r="F32" s="130" t="s">
        <v>1677</v>
      </c>
      <c r="G32" s="428"/>
      <c r="H32" s="119" t="s">
        <v>246</v>
      </c>
      <c r="I32" s="428"/>
      <c r="J32" s="119" t="s">
        <v>2403</v>
      </c>
      <c r="K32" s="674"/>
      <c r="L32" s="119" t="s">
        <v>780</v>
      </c>
      <c r="M32" s="437"/>
    </row>
    <row r="33" spans="1:13" ht="11.25">
      <c r="A33" s="519" t="s">
        <v>579</v>
      </c>
      <c r="B33" s="959"/>
      <c r="C33" s="960"/>
      <c r="D33" s="960"/>
      <c r="E33" s="961"/>
      <c r="F33" s="119" t="s">
        <v>1196</v>
      </c>
      <c r="G33" s="428"/>
      <c r="H33" s="119" t="s">
        <v>247</v>
      </c>
      <c r="I33" s="428"/>
      <c r="J33" s="119" t="s">
        <v>2404</v>
      </c>
      <c r="K33" s="674"/>
      <c r="L33" s="119" t="s">
        <v>809</v>
      </c>
      <c r="M33" s="437"/>
    </row>
    <row r="34" spans="1:13" ht="11.25">
      <c r="A34" s="926"/>
      <c r="B34" s="927"/>
      <c r="C34" s="927"/>
      <c r="D34" s="927"/>
      <c r="E34" s="927"/>
      <c r="F34" s="927"/>
      <c r="G34" s="927"/>
      <c r="H34" s="927"/>
      <c r="I34" s="927"/>
      <c r="J34" s="927"/>
      <c r="K34" s="927"/>
      <c r="L34" s="927"/>
      <c r="M34" s="928"/>
    </row>
    <row r="35" spans="1:13" ht="11.25">
      <c r="A35" s="929"/>
      <c r="B35" s="930"/>
      <c r="C35" s="930"/>
      <c r="D35" s="930"/>
      <c r="E35" s="930"/>
      <c r="F35" s="930"/>
      <c r="G35" s="930"/>
      <c r="H35" s="930"/>
      <c r="I35" s="930"/>
      <c r="J35" s="930"/>
      <c r="K35" s="930"/>
      <c r="L35" s="930"/>
      <c r="M35" s="931"/>
    </row>
    <row r="36" spans="1:13" ht="11.25">
      <c r="A36" s="940"/>
      <c r="B36" s="930"/>
      <c r="C36" s="930"/>
      <c r="D36" s="930"/>
      <c r="E36" s="930"/>
      <c r="F36" s="930"/>
      <c r="G36" s="930"/>
      <c r="H36" s="930"/>
      <c r="I36" s="930"/>
      <c r="J36" s="930"/>
      <c r="K36" s="930"/>
      <c r="L36" s="930"/>
      <c r="M36" s="931"/>
    </row>
    <row r="37" spans="1:13" ht="11.25">
      <c r="A37" s="941"/>
      <c r="B37" s="942"/>
      <c r="C37" s="942"/>
      <c r="D37" s="942"/>
      <c r="E37" s="942"/>
      <c r="F37" s="942"/>
      <c r="G37" s="942"/>
      <c r="H37" s="942"/>
      <c r="I37" s="942"/>
      <c r="J37" s="942"/>
      <c r="K37" s="942"/>
      <c r="L37" s="942"/>
      <c r="M37" s="943"/>
    </row>
    <row r="38" spans="1:12" ht="11.25">
      <c r="A38" s="602" t="s">
        <v>1621</v>
      </c>
      <c r="B38" s="603"/>
      <c r="C38" s="604" t="s">
        <v>2405</v>
      </c>
      <c r="D38" s="604"/>
      <c r="E38" s="604" t="s">
        <v>994</v>
      </c>
      <c r="F38" s="604"/>
      <c r="G38" s="604" t="s">
        <v>2399</v>
      </c>
      <c r="H38" s="605"/>
      <c r="I38" s="944" t="s">
        <v>995</v>
      </c>
      <c r="J38" s="944"/>
      <c r="K38" s="944"/>
      <c r="L38" s="133"/>
    </row>
    <row r="39" spans="1:12" ht="52.5" customHeight="1">
      <c r="A39" s="134" t="s">
        <v>1622</v>
      </c>
      <c r="B39" s="135" t="s">
        <v>1623</v>
      </c>
      <c r="C39" s="136" t="s">
        <v>1132</v>
      </c>
      <c r="D39" s="136"/>
      <c r="E39" s="136" t="s">
        <v>1615</v>
      </c>
      <c r="F39" s="136"/>
      <c r="G39" s="136" t="s">
        <v>2239</v>
      </c>
      <c r="H39" s="136"/>
      <c r="I39" s="945" t="s">
        <v>996</v>
      </c>
      <c r="J39" s="946"/>
      <c r="K39" s="947"/>
      <c r="L39" s="133"/>
    </row>
    <row r="40" spans="1:12" ht="11.25">
      <c r="A40" s="439"/>
      <c r="B40" s="437"/>
      <c r="C40" s="431"/>
      <c r="D40" s="120"/>
      <c r="E40" s="431"/>
      <c r="F40" s="120"/>
      <c r="G40" s="673"/>
      <c r="H40" s="120"/>
      <c r="I40" s="937"/>
      <c r="J40" s="938"/>
      <c r="K40" s="939"/>
      <c r="L40" s="133"/>
    </row>
    <row r="41" spans="1:12" ht="11.25">
      <c r="A41" s="607"/>
      <c r="B41" s="608"/>
      <c r="C41" s="608"/>
      <c r="D41" s="608"/>
      <c r="E41" s="608"/>
      <c r="F41" s="608"/>
      <c r="G41" s="608"/>
      <c r="H41" s="608"/>
      <c r="I41" s="609"/>
      <c r="J41" s="609"/>
      <c r="K41" s="610"/>
      <c r="L41" s="133"/>
    </row>
    <row r="42" spans="1:12" ht="11.25">
      <c r="A42" s="611"/>
      <c r="B42" s="612"/>
      <c r="C42" s="612"/>
      <c r="D42" s="612"/>
      <c r="E42" s="612"/>
      <c r="F42" s="612"/>
      <c r="G42" s="612"/>
      <c r="H42" s="612"/>
      <c r="I42" s="613"/>
      <c r="J42" s="613"/>
      <c r="K42" s="614"/>
      <c r="L42" s="133"/>
    </row>
    <row r="43" spans="1:12" ht="72.75" customHeight="1">
      <c r="A43" s="132" t="s">
        <v>1624</v>
      </c>
      <c r="B43" s="135" t="s">
        <v>1625</v>
      </c>
      <c r="C43" s="136" t="s">
        <v>821</v>
      </c>
      <c r="D43" s="136"/>
      <c r="E43" s="136" t="s">
        <v>2224</v>
      </c>
      <c r="F43" s="136"/>
      <c r="G43" s="136" t="s">
        <v>2245</v>
      </c>
      <c r="H43" s="136"/>
      <c r="I43" s="948" t="s">
        <v>997</v>
      </c>
      <c r="J43" s="948"/>
      <c r="K43" s="948"/>
      <c r="L43" s="133"/>
    </row>
    <row r="44" spans="1:12" ht="11.25">
      <c r="A44" s="439"/>
      <c r="B44" s="437"/>
      <c r="C44" s="431"/>
      <c r="D44" s="120"/>
      <c r="E44" s="431"/>
      <c r="F44" s="120"/>
      <c r="G44" s="673"/>
      <c r="H44" s="120"/>
      <c r="I44" s="937"/>
      <c r="J44" s="938"/>
      <c r="K44" s="939"/>
      <c r="L44" s="133"/>
    </row>
    <row r="45" spans="1:12" ht="11.25">
      <c r="A45" s="607"/>
      <c r="B45" s="608"/>
      <c r="C45" s="608"/>
      <c r="D45" s="608"/>
      <c r="E45" s="608"/>
      <c r="F45" s="608"/>
      <c r="G45" s="608"/>
      <c r="H45" s="608"/>
      <c r="I45" s="609"/>
      <c r="J45" s="609"/>
      <c r="K45" s="610"/>
      <c r="L45" s="133"/>
    </row>
    <row r="46" spans="1:12" ht="11.25">
      <c r="A46" s="611"/>
      <c r="B46" s="612"/>
      <c r="C46" s="612"/>
      <c r="D46" s="612"/>
      <c r="E46" s="612"/>
      <c r="F46" s="612"/>
      <c r="G46" s="612"/>
      <c r="H46" s="612"/>
      <c r="I46" s="613"/>
      <c r="J46" s="613"/>
      <c r="K46" s="614"/>
      <c r="L46" s="133"/>
    </row>
    <row r="47" spans="1:12" ht="11.25">
      <c r="A47" s="131" t="s">
        <v>576</v>
      </c>
      <c r="B47" s="119" t="s">
        <v>826</v>
      </c>
      <c r="C47" s="431"/>
      <c r="D47" s="119" t="s">
        <v>2228</v>
      </c>
      <c r="E47" s="431"/>
      <c r="F47" s="119" t="s">
        <v>2250</v>
      </c>
      <c r="G47" s="432"/>
      <c r="H47" s="119" t="s">
        <v>215</v>
      </c>
      <c r="I47" s="949"/>
      <c r="J47" s="949"/>
      <c r="K47" s="949"/>
      <c r="L47" s="133"/>
    </row>
    <row r="48" spans="1:12" ht="11.25">
      <c r="A48" s="615"/>
      <c r="B48" s="660"/>
      <c r="C48" s="608"/>
      <c r="D48" s="660"/>
      <c r="E48" s="608"/>
      <c r="F48" s="660"/>
      <c r="G48" s="608"/>
      <c r="H48" s="660"/>
      <c r="I48" s="616"/>
      <c r="J48" s="616"/>
      <c r="K48" s="617"/>
      <c r="L48" s="133"/>
    </row>
    <row r="49" spans="1:12" ht="11.25">
      <c r="A49" s="661"/>
      <c r="B49" s="662"/>
      <c r="C49" s="612"/>
      <c r="D49" s="662"/>
      <c r="E49" s="612"/>
      <c r="F49" s="662"/>
      <c r="G49" s="612"/>
      <c r="H49" s="662"/>
      <c r="I49" s="612"/>
      <c r="J49" s="594"/>
      <c r="K49" s="595"/>
      <c r="L49" s="133"/>
    </row>
    <row r="50" spans="1:12" s="113" customFormat="1" ht="51.75" customHeight="1">
      <c r="A50" s="132" t="s">
        <v>1626</v>
      </c>
      <c r="B50" s="119"/>
      <c r="C50" s="136" t="s">
        <v>827</v>
      </c>
      <c r="D50" s="136"/>
      <c r="E50" s="136" t="s">
        <v>2222</v>
      </c>
      <c r="F50" s="136"/>
      <c r="G50" s="136" t="s">
        <v>2251</v>
      </c>
      <c r="H50" s="136"/>
      <c r="I50" s="945" t="s">
        <v>216</v>
      </c>
      <c r="J50" s="946"/>
      <c r="K50" s="947"/>
      <c r="L50" s="137"/>
    </row>
    <row r="51" spans="1:12" s="113" customFormat="1" ht="11.25">
      <c r="A51" s="439"/>
      <c r="B51" s="138"/>
      <c r="C51" s="431"/>
      <c r="D51" s="138"/>
      <c r="E51" s="431"/>
      <c r="F51" s="138"/>
      <c r="G51" s="432"/>
      <c r="H51" s="138"/>
      <c r="I51" s="949"/>
      <c r="J51" s="949"/>
      <c r="K51" s="949"/>
      <c r="L51" s="137"/>
    </row>
    <row r="52" spans="1:12" s="113" customFormat="1" ht="11.25">
      <c r="A52" s="615"/>
      <c r="B52" s="608"/>
      <c r="C52" s="608"/>
      <c r="D52" s="608"/>
      <c r="E52" s="608"/>
      <c r="F52" s="608"/>
      <c r="G52" s="608"/>
      <c r="H52" s="608"/>
      <c r="I52" s="616"/>
      <c r="J52" s="616"/>
      <c r="K52" s="617"/>
      <c r="L52" s="137"/>
    </row>
    <row r="53" spans="1:12" ht="11.25">
      <c r="A53" s="618"/>
      <c r="B53" s="606"/>
      <c r="C53" s="606"/>
      <c r="D53" s="606"/>
      <c r="E53" s="606"/>
      <c r="F53" s="606"/>
      <c r="G53" s="606"/>
      <c r="H53" s="606"/>
      <c r="I53" s="606"/>
      <c r="J53" s="587"/>
      <c r="K53" s="591"/>
      <c r="L53" s="133"/>
    </row>
    <row r="54" spans="1:12" s="139" customFormat="1" ht="11.25">
      <c r="A54" s="956" t="s">
        <v>998</v>
      </c>
      <c r="B54" s="957"/>
      <c r="C54" s="957"/>
      <c r="D54" s="957"/>
      <c r="E54" s="957"/>
      <c r="F54" s="957"/>
      <c r="G54" s="957"/>
      <c r="H54" s="957"/>
      <c r="I54" s="957"/>
      <c r="J54" s="957"/>
      <c r="K54" s="958"/>
      <c r="L54" s="133"/>
    </row>
    <row r="55" spans="1:12" s="139" customFormat="1" ht="11.25">
      <c r="A55" s="956" t="s">
        <v>787</v>
      </c>
      <c r="B55" s="957"/>
      <c r="C55" s="957"/>
      <c r="D55" s="957"/>
      <c r="E55" s="957"/>
      <c r="F55" s="957"/>
      <c r="G55" s="957"/>
      <c r="H55" s="957"/>
      <c r="I55" s="957"/>
      <c r="J55" s="957"/>
      <c r="K55" s="958"/>
      <c r="L55" s="133"/>
    </row>
    <row r="56" spans="1:13" s="139" customFormat="1" ht="11.25">
      <c r="A56" s="956" t="s">
        <v>877</v>
      </c>
      <c r="B56" s="957"/>
      <c r="C56" s="957"/>
      <c r="D56" s="957"/>
      <c r="E56" s="957"/>
      <c r="F56" s="957"/>
      <c r="G56" s="957"/>
      <c r="H56" s="957"/>
      <c r="I56" s="957"/>
      <c r="J56" s="957"/>
      <c r="K56" s="958"/>
      <c r="L56" s="122"/>
      <c r="M56" s="122"/>
    </row>
    <row r="57" spans="1:13" s="139" customFormat="1" ht="11.25">
      <c r="A57" s="956"/>
      <c r="B57" s="957"/>
      <c r="C57" s="957"/>
      <c r="D57" s="957"/>
      <c r="E57" s="957"/>
      <c r="F57" s="957"/>
      <c r="G57" s="957"/>
      <c r="H57" s="957"/>
      <c r="I57" s="957"/>
      <c r="J57" s="957"/>
      <c r="K57" s="958"/>
      <c r="L57" s="122"/>
      <c r="M57" s="122"/>
    </row>
    <row r="58" spans="1:13" s="139" customFormat="1" ht="11.25">
      <c r="A58" s="956" t="s">
        <v>999</v>
      </c>
      <c r="B58" s="957"/>
      <c r="C58" s="957"/>
      <c r="D58" s="957"/>
      <c r="E58" s="957"/>
      <c r="F58" s="957"/>
      <c r="G58" s="957"/>
      <c r="H58" s="957"/>
      <c r="I58" s="957"/>
      <c r="J58" s="957"/>
      <c r="K58" s="958"/>
      <c r="L58" s="133"/>
      <c r="M58" s="133"/>
    </row>
    <row r="59" spans="1:13" ht="11.25">
      <c r="A59" s="956"/>
      <c r="B59" s="957"/>
      <c r="C59" s="957"/>
      <c r="D59" s="957"/>
      <c r="E59" s="957"/>
      <c r="F59" s="957"/>
      <c r="G59" s="957"/>
      <c r="H59" s="957"/>
      <c r="I59" s="957"/>
      <c r="J59" s="957"/>
      <c r="K59" s="958"/>
      <c r="L59" s="133"/>
      <c r="M59" s="133"/>
    </row>
    <row r="60" spans="1:13" ht="11.25">
      <c r="A60" s="597"/>
      <c r="B60" s="596"/>
      <c r="C60" s="596"/>
      <c r="D60" s="596"/>
      <c r="E60" s="596"/>
      <c r="F60" s="596"/>
      <c r="G60" s="596"/>
      <c r="H60" s="596"/>
      <c r="I60" s="596"/>
      <c r="J60" s="596"/>
      <c r="K60" s="598"/>
      <c r="L60" s="133"/>
      <c r="M60" s="133"/>
    </row>
    <row r="61" spans="1:13" ht="11.25">
      <c r="A61" s="599"/>
      <c r="B61" s="600"/>
      <c r="C61" s="600"/>
      <c r="D61" s="600"/>
      <c r="E61" s="600"/>
      <c r="F61" s="600"/>
      <c r="G61" s="600"/>
      <c r="H61" s="600"/>
      <c r="I61" s="600"/>
      <c r="J61" s="600"/>
      <c r="K61" s="601"/>
      <c r="L61" s="133"/>
      <c r="M61" s="133"/>
    </row>
    <row r="62" spans="1:17" ht="13.5" customHeight="1">
      <c r="A62" s="665" t="s">
        <v>528</v>
      </c>
      <c r="B62" s="666" t="s">
        <v>943</v>
      </c>
      <c r="C62" s="667"/>
      <c r="D62" s="667"/>
      <c r="E62" s="667"/>
      <c r="F62" s="667"/>
      <c r="G62" s="667"/>
      <c r="H62" s="667"/>
      <c r="I62" s="667"/>
      <c r="J62" s="667"/>
      <c r="K62" s="667"/>
      <c r="L62" s="663"/>
      <c r="M62" s="663"/>
      <c r="N62" s="663"/>
      <c r="O62" s="663"/>
      <c r="P62" s="663"/>
      <c r="Q62" s="664"/>
    </row>
    <row r="63" spans="1:17" ht="11.25">
      <c r="A63" s="950"/>
      <c r="B63" s="951"/>
      <c r="C63" s="951"/>
      <c r="D63" s="951"/>
      <c r="E63" s="951"/>
      <c r="F63" s="951"/>
      <c r="G63" s="951"/>
      <c r="H63" s="951"/>
      <c r="I63" s="951"/>
      <c r="J63" s="951"/>
      <c r="K63" s="951"/>
      <c r="L63" s="951"/>
      <c r="M63" s="951"/>
      <c r="N63" s="951"/>
      <c r="O63" s="951"/>
      <c r="P63" s="951"/>
      <c r="Q63" s="952"/>
    </row>
    <row r="64" spans="1:17" ht="11.25">
      <c r="A64" s="950"/>
      <c r="B64" s="951"/>
      <c r="C64" s="951"/>
      <c r="D64" s="951"/>
      <c r="E64" s="951"/>
      <c r="F64" s="951"/>
      <c r="G64" s="951"/>
      <c r="H64" s="951"/>
      <c r="I64" s="951"/>
      <c r="J64" s="951"/>
      <c r="K64" s="951"/>
      <c r="L64" s="951"/>
      <c r="M64" s="951"/>
      <c r="N64" s="951"/>
      <c r="O64" s="951"/>
      <c r="P64" s="951"/>
      <c r="Q64" s="952"/>
    </row>
    <row r="65" spans="1:17" ht="11.25">
      <c r="A65" s="950"/>
      <c r="B65" s="951"/>
      <c r="C65" s="951"/>
      <c r="D65" s="951"/>
      <c r="E65" s="951"/>
      <c r="F65" s="951"/>
      <c r="G65" s="951"/>
      <c r="H65" s="951"/>
      <c r="I65" s="951"/>
      <c r="J65" s="951"/>
      <c r="K65" s="951"/>
      <c r="L65" s="951"/>
      <c r="M65" s="951"/>
      <c r="N65" s="951"/>
      <c r="O65" s="951"/>
      <c r="P65" s="951"/>
      <c r="Q65" s="952"/>
    </row>
    <row r="66" spans="1:17" ht="11.25">
      <c r="A66" s="950"/>
      <c r="B66" s="951"/>
      <c r="C66" s="951"/>
      <c r="D66" s="951"/>
      <c r="E66" s="951"/>
      <c r="F66" s="951"/>
      <c r="G66" s="951"/>
      <c r="H66" s="951"/>
      <c r="I66" s="951"/>
      <c r="J66" s="951"/>
      <c r="K66" s="951"/>
      <c r="L66" s="951"/>
      <c r="M66" s="951"/>
      <c r="N66" s="951"/>
      <c r="O66" s="951"/>
      <c r="P66" s="951"/>
      <c r="Q66" s="952"/>
    </row>
    <row r="67" spans="1:17" ht="11.25">
      <c r="A67" s="950"/>
      <c r="B67" s="951"/>
      <c r="C67" s="951"/>
      <c r="D67" s="951"/>
      <c r="E67" s="951"/>
      <c r="F67" s="951"/>
      <c r="G67" s="951"/>
      <c r="H67" s="951"/>
      <c r="I67" s="951"/>
      <c r="J67" s="951"/>
      <c r="K67" s="951"/>
      <c r="L67" s="951"/>
      <c r="M67" s="951"/>
      <c r="N67" s="951"/>
      <c r="O67" s="951"/>
      <c r="P67" s="951"/>
      <c r="Q67" s="952"/>
    </row>
    <row r="68" spans="1:17" ht="11.25">
      <c r="A68" s="950"/>
      <c r="B68" s="951"/>
      <c r="C68" s="951"/>
      <c r="D68" s="951"/>
      <c r="E68" s="951"/>
      <c r="F68" s="951"/>
      <c r="G68" s="951"/>
      <c r="H68" s="951"/>
      <c r="I68" s="951"/>
      <c r="J68" s="951"/>
      <c r="K68" s="951"/>
      <c r="L68" s="951"/>
      <c r="M68" s="951"/>
      <c r="N68" s="951"/>
      <c r="O68" s="951"/>
      <c r="P68" s="951"/>
      <c r="Q68" s="952"/>
    </row>
    <row r="69" spans="1:17" ht="12" thickBot="1">
      <c r="A69" s="953"/>
      <c r="B69" s="954"/>
      <c r="C69" s="954"/>
      <c r="D69" s="954"/>
      <c r="E69" s="954"/>
      <c r="F69" s="954"/>
      <c r="G69" s="954"/>
      <c r="H69" s="954"/>
      <c r="I69" s="954"/>
      <c r="J69" s="954"/>
      <c r="K69" s="954"/>
      <c r="L69" s="954"/>
      <c r="M69" s="954"/>
      <c r="N69" s="954"/>
      <c r="O69" s="954"/>
      <c r="P69" s="954"/>
      <c r="Q69" s="955"/>
    </row>
    <row r="70" spans="1:13" ht="11.25">
      <c r="A70" s="113"/>
      <c r="B70" s="113"/>
      <c r="C70" s="113"/>
      <c r="D70" s="113"/>
      <c r="E70" s="113"/>
      <c r="F70" s="113"/>
      <c r="G70" s="113"/>
      <c r="H70" s="113"/>
      <c r="I70" s="113"/>
      <c r="J70" s="113"/>
      <c r="K70" s="113"/>
      <c r="L70" s="113"/>
      <c r="M70" s="113"/>
    </row>
    <row r="71" spans="1:13" ht="11.25">
      <c r="A71" s="113"/>
      <c r="B71" s="113"/>
      <c r="C71" s="113"/>
      <c r="D71" s="113"/>
      <c r="E71" s="113"/>
      <c r="F71" s="113"/>
      <c r="G71" s="113"/>
      <c r="H71" s="113"/>
      <c r="I71" s="113"/>
      <c r="J71" s="113"/>
      <c r="K71" s="113"/>
      <c r="L71" s="113"/>
      <c r="M71" s="113"/>
    </row>
    <row r="72" spans="1:13" ht="11.25">
      <c r="A72" s="113"/>
      <c r="B72" s="113"/>
      <c r="C72" s="113"/>
      <c r="D72" s="113"/>
      <c r="E72" s="113"/>
      <c r="F72" s="113"/>
      <c r="G72" s="113"/>
      <c r="H72" s="113"/>
      <c r="I72" s="113"/>
      <c r="J72" s="113"/>
      <c r="K72" s="113"/>
      <c r="L72" s="113"/>
      <c r="M72" s="113"/>
    </row>
    <row r="73" spans="1:13" ht="11.25">
      <c r="A73" s="137"/>
      <c r="B73" s="137"/>
      <c r="C73" s="137"/>
      <c r="D73" s="137"/>
      <c r="E73" s="137"/>
      <c r="F73" s="137"/>
      <c r="G73" s="137"/>
      <c r="H73" s="137"/>
      <c r="I73" s="137"/>
      <c r="J73" s="137"/>
      <c r="K73" s="137"/>
      <c r="L73" s="137"/>
      <c r="M73" s="137"/>
    </row>
    <row r="74" spans="1:13" ht="11.25">
      <c r="A74" s="137"/>
      <c r="B74" s="137"/>
      <c r="C74" s="137"/>
      <c r="D74" s="137"/>
      <c r="E74" s="137"/>
      <c r="F74" s="137"/>
      <c r="G74" s="137"/>
      <c r="H74" s="137"/>
      <c r="I74" s="137"/>
      <c r="J74" s="137"/>
      <c r="K74" s="137"/>
      <c r="L74" s="137"/>
      <c r="M74" s="137"/>
    </row>
    <row r="75" spans="1:13" ht="11.25">
      <c r="A75" s="137"/>
      <c r="B75" s="137"/>
      <c r="C75" s="137"/>
      <c r="D75" s="137"/>
      <c r="E75" s="137"/>
      <c r="F75" s="137"/>
      <c r="G75" s="137"/>
      <c r="H75" s="137"/>
      <c r="I75" s="137"/>
      <c r="J75" s="137"/>
      <c r="K75" s="137"/>
      <c r="L75" s="137"/>
      <c r="M75" s="137"/>
    </row>
  </sheetData>
  <sheetProtection insertRows="0" deleteRows="0"/>
  <mergeCells count="42">
    <mergeCell ref="B8:Q8"/>
    <mergeCell ref="B30:E30"/>
    <mergeCell ref="B31:E31"/>
    <mergeCell ref="B32:E32"/>
    <mergeCell ref="D15:E15"/>
    <mergeCell ref="F15:G15"/>
    <mergeCell ref="H15:I15"/>
    <mergeCell ref="F28:K28"/>
    <mergeCell ref="B33:E33"/>
    <mergeCell ref="B4:Q4"/>
    <mergeCell ref="B5:Q5"/>
    <mergeCell ref="B6:Q6"/>
    <mergeCell ref="B7:Q7"/>
    <mergeCell ref="N15:O15"/>
    <mergeCell ref="P15:Q15"/>
    <mergeCell ref="A23:M24"/>
    <mergeCell ref="A25:M26"/>
    <mergeCell ref="B15:C15"/>
    <mergeCell ref="I47:K47"/>
    <mergeCell ref="I51:K51"/>
    <mergeCell ref="I50:K50"/>
    <mergeCell ref="A63:Q69"/>
    <mergeCell ref="A54:K54"/>
    <mergeCell ref="A55:K55"/>
    <mergeCell ref="A56:K57"/>
    <mergeCell ref="A58:K59"/>
    <mergeCell ref="I44:K44"/>
    <mergeCell ref="A36:M37"/>
    <mergeCell ref="I38:K38"/>
    <mergeCell ref="I39:K39"/>
    <mergeCell ref="I43:K43"/>
    <mergeCell ref="I40:K40"/>
    <mergeCell ref="A1:H1"/>
    <mergeCell ref="A34:M35"/>
    <mergeCell ref="F14:I14"/>
    <mergeCell ref="J15:K15"/>
    <mergeCell ref="L15:M15"/>
    <mergeCell ref="J14:O14"/>
    <mergeCell ref="F29:G29"/>
    <mergeCell ref="H29:I29"/>
    <mergeCell ref="J29:K29"/>
    <mergeCell ref="L29:M29"/>
  </mergeCells>
  <conditionalFormatting sqref="G18">
    <cfRule type="expression" priority="1" dxfId="0" stopIfTrue="1">
      <formula>NOT(T2)</formula>
    </cfRule>
  </conditionalFormatting>
  <conditionalFormatting sqref="I18">
    <cfRule type="expression" priority="2" dxfId="0" stopIfTrue="1">
      <formula>NOT(T3)</formula>
    </cfRule>
  </conditionalFormatting>
  <conditionalFormatting sqref="G22">
    <cfRule type="expression" priority="3" dxfId="0" stopIfTrue="1">
      <formula>NOT(T4)</formula>
    </cfRule>
  </conditionalFormatting>
  <conditionalFormatting sqref="I22">
    <cfRule type="expression" priority="4" dxfId="0" stopIfTrue="1">
      <formula>NOT(T5)</formula>
    </cfRule>
  </conditionalFormatting>
  <conditionalFormatting sqref="T2:T5">
    <cfRule type="cellIs" priority="5" dxfId="0" operator="equal" stopIfTrue="1">
      <formula>FALSE</formula>
    </cfRule>
  </conditionalFormatting>
  <dataValidations count="3">
    <dataValidation allowBlank="1" showInputMessage="1" showErrorMessage="1" errorTitle="Celda de Tipo Texto" sqref="I47:K47 A63:Q69 A44:B44 I44:K44 A40:B40 I40:K40 M30:M33 A30:A33 Q22 Q18 A51 I51:K51"/>
    <dataValidation type="decimal" operator="lessThan" allowBlank="1" showInputMessage="1" showErrorMessage="1" errorTitle="Celda de Tipo Numérico Decimal" sqref="E51 G44 E44 C44 G40 E40 C40 G30:G33 I30:I33 K30:K33 O20:O22 O16:O18 M20:M22 M16:M18 K20:K22 K16:K18 E20 E16 C20 C16 E47 C47 G47 G50:G51 C51">
      <formula1>9.99999999999999E+179</formula1>
    </dataValidation>
    <dataValidation type="whole" operator="lessThan" allowBlank="1" showInputMessage="1" showErrorMessage="1" errorTitle="Celda de Tipo Numérico Entero" sqref="G16:G18 I20:I22 G20:G22 I16:I18">
      <formula1>9.99999999999999E+179</formula1>
    </dataValidation>
  </dataValidations>
  <printOptions horizontalCentered="1"/>
  <pageMargins left="0.7874015748031497" right="0.7874015748031497" top="0.5905511811023623" bottom="0.5905511811023623" header="0" footer="0.15748031496062992"/>
  <pageSetup horizontalDpi="600" verticalDpi="600" orientation="portrait" paperSize="9" scale="3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sfaom1</cp:lastModifiedBy>
  <cp:lastPrinted>2009-11-25T12:53:00Z</cp:lastPrinted>
  <dcterms:created xsi:type="dcterms:W3CDTF">2008-05-21T10:14:41Z</dcterms:created>
  <dcterms:modified xsi:type="dcterms:W3CDTF">2010-07-21T13:37:57Z</dcterms:modified>
  <cp:category/>
  <cp:version/>
  <cp:contentType/>
  <cp:contentStatus/>
</cp:coreProperties>
</file>