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60" yWindow="65248" windowWidth="15480" windowHeight="6036" tabRatio="655" firstSheet="5" activeTab="6"/>
  </bookViews>
  <sheets>
    <sheet name="AIAF EMP BAN 1" sheetId="1" r:id="rId1"/>
    <sheet name="PORTADA" sheetId="2" r:id="rId2"/>
    <sheet name="BALANCE" sheetId="3" r:id="rId3"/>
    <sheet name="BALANCE-DEVENGO" sheetId="4" r:id="rId4"/>
    <sheet name="CNMV ING" sheetId="5" r:id="rId5"/>
    <sheet name="CNMV ESP" sheetId="6" r:id="rId6"/>
    <sheet name="Español" sheetId="7" r:id="rId7"/>
    <sheet name="Inglés" sheetId="8" r:id="rId8"/>
    <sheet name="datos morosidad" sheetId="9" r:id="rId9"/>
    <sheet name="tipos interés EBAN 1" sheetId="10" r:id="rId10"/>
    <sheet name="Fecha de pago" sheetId="11" r:id="rId11"/>
    <sheet name="5701" sheetId="12" r:id="rId12"/>
    <sheet name="mis calculos" sheetId="13" r:id="rId13"/>
    <sheet name="TRANSFERENCIAS" sheetId="14" r:id="rId14"/>
    <sheet name="PCUP" sheetId="15" r:id="rId15"/>
    <sheet name="RATE EMP BAN 1" sheetId="16" r:id="rId16"/>
    <sheet name="Modelo K13 Serie A1" sheetId="17" r:id="rId17"/>
    <sheet name="Modelo K13 Serie A2" sheetId="18" r:id="rId18"/>
    <sheet name="Modelo K13 Serie B" sheetId="19" r:id="rId19"/>
    <sheet name="Modelo K13 Serie C" sheetId="20" r:id="rId20"/>
    <sheet name="Modelo K13 Serie D" sheetId="21" r:id="rId21"/>
  </sheets>
  <definedNames>
    <definedName name="_xlnm.Print_Area" localSheetId="5">'CNMV ESP'!$A$1:$G$105</definedName>
    <definedName name="_xlnm.Print_Area" localSheetId="4">'CNMV ING'!$A$1:$G$104</definedName>
    <definedName name="_xlnm.Print_Area" localSheetId="6">'Español'!$A$1:$G$283</definedName>
    <definedName name="_xlnm.Print_Area" localSheetId="10">'Fecha de pago'!$B$1:$T$168</definedName>
    <definedName name="_xlnm.Print_Area" localSheetId="7">'Inglés'!$A$1:$G$252</definedName>
    <definedName name="_xlnm.Print_Area" localSheetId="14">'PCUP'!$A$1:$J$52</definedName>
    <definedName name="_xlnm.Print_Area" localSheetId="13">'TRANSFERENCIAS'!$A$1:$F$331</definedName>
    <definedName name="conversion">'CNMV ING'!$I$14:$K$44</definedName>
    <definedName name="_xlnm.Print_Titles" localSheetId="5">'CNMV ESP'!$1:$12</definedName>
    <definedName name="_xlnm.Print_Titles" localSheetId="4">'CNMV ING'!$1:$11</definedName>
    <definedName name="_xlnm.Print_Titles" localSheetId="6">'Español'!$1:$7</definedName>
    <definedName name="_xlnm.Print_Titles" localSheetId="7">'Inglés'!$1:$7</definedName>
    <definedName name="_xlnm.Print_Titles" localSheetId="13">'TRANSFERENCIAS'!$1:$5</definedName>
  </definedNames>
  <calcPr fullCalcOnLoad="1"/>
</workbook>
</file>

<file path=xl/comments11.xml><?xml version="1.0" encoding="utf-8"?>
<comments xmlns="http://schemas.openxmlformats.org/spreadsheetml/2006/main">
  <authors>
    <author>sfjsl1</author>
  </authors>
  <commentList>
    <comment ref="L89" authorId="0">
      <text>
        <r>
          <rPr>
            <b/>
            <sz val="8"/>
            <rFont val="Tahoma"/>
            <family val="0"/>
          </rPr>
          <t>Los doce monos:
dato contable en Fecha Determinación</t>
        </r>
        <r>
          <rPr>
            <sz val="8"/>
            <rFont val="Tahoma"/>
            <family val="0"/>
          </rPr>
          <t xml:space="preserve">
</t>
        </r>
      </text>
    </comment>
    <comment ref="H173" authorId="0">
      <text>
        <r>
          <rPr>
            <b/>
            <sz val="12"/>
            <rFont val="Tahoma"/>
            <family val="2"/>
          </rPr>
          <t>sfjsl1:
DATOS SEGÚN amortfondo</t>
        </r>
      </text>
    </comment>
    <comment ref="F187" authorId="0">
      <text>
        <r>
          <rPr>
            <b/>
            <sz val="10"/>
            <rFont val="Tahoma"/>
            <family val="2"/>
          </rPr>
          <t>sfjsl1:</t>
        </r>
        <r>
          <rPr>
            <sz val="10"/>
            <rFont val="Tahoma"/>
            <family val="2"/>
          </rPr>
          <t xml:space="preserve">
ACTUALIZAR CON SWAP</t>
        </r>
      </text>
    </comment>
    <comment ref="C45" authorId="0">
      <text>
        <r>
          <rPr>
            <b/>
            <sz val="11"/>
            <rFont val="Tahoma"/>
            <family val="2"/>
          </rPr>
          <t>sfjsl1:</t>
        </r>
        <r>
          <rPr>
            <sz val="11"/>
            <rFont val="Tahoma"/>
            <family val="2"/>
          </rPr>
          <t xml:space="preserve">
liberamos los gastos en junio 2009 =&gt; 352.077,84 €</t>
        </r>
      </text>
    </comment>
  </commentList>
</comments>
</file>

<file path=xl/comments13.xml><?xml version="1.0" encoding="utf-8"?>
<comments xmlns="http://schemas.openxmlformats.org/spreadsheetml/2006/main">
  <authors>
    <author>sfjsl1</author>
  </authors>
  <commentList>
    <comment ref="B12" authorId="0">
      <text>
        <r>
          <rPr>
            <b/>
            <sz val="8"/>
            <rFont val="Tahoma"/>
            <family val="0"/>
          </rPr>
          <t>sfjsl1: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OJO ==&gt; FALTA EN JUNIO LOS INTERESES DE JUNIO (CONTABILIZAR EN SETIEMBRE)</t>
        </r>
      </text>
    </comment>
  </commentList>
</comments>
</file>

<file path=xl/comments6.xml><?xml version="1.0" encoding="utf-8"?>
<comments xmlns="http://schemas.openxmlformats.org/spreadsheetml/2006/main">
  <authors>
    <author>sfjsl1</author>
  </authors>
  <commentList>
    <comment ref="D88" authorId="0">
      <text>
        <r>
          <rPr>
            <b/>
            <sz val="8"/>
            <rFont val="Tahoma"/>
            <family val="0"/>
          </rPr>
          <t>Los 12 monos:
actualizar dato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sfjsl1</author>
  </authors>
  <commentList>
    <comment ref="G13" authorId="0">
      <text>
        <r>
          <rPr>
            <b/>
            <sz val="8"/>
            <rFont val="Tahoma"/>
            <family val="0"/>
          </rPr>
          <t>sfjsl1:</t>
        </r>
        <r>
          <rPr>
            <sz val="8"/>
            <rFont val="Tahoma"/>
            <family val="0"/>
          </rPr>
          <t xml:space="preserve">
Actualizar DATO</t>
        </r>
      </text>
    </comment>
    <comment ref="G18" authorId="0">
      <text>
        <r>
          <rPr>
            <b/>
            <sz val="8"/>
            <rFont val="Tahoma"/>
            <family val="0"/>
          </rPr>
          <t>sfjsl1:</t>
        </r>
        <r>
          <rPr>
            <sz val="8"/>
            <rFont val="Tahoma"/>
            <family val="0"/>
          </rPr>
          <t xml:space="preserve">
Actualizar DATO</t>
        </r>
      </text>
    </comment>
    <comment ref="G24" authorId="0">
      <text>
        <r>
          <rPr>
            <b/>
            <sz val="8"/>
            <rFont val="Tahoma"/>
            <family val="0"/>
          </rPr>
          <t>sfjsl1:</t>
        </r>
        <r>
          <rPr>
            <sz val="8"/>
            <rFont val="Tahoma"/>
            <family val="0"/>
          </rPr>
          <t xml:space="preserve">
Actualizar DATO</t>
        </r>
      </text>
    </comment>
    <comment ref="G37" authorId="0">
      <text>
        <r>
          <rPr>
            <b/>
            <sz val="8"/>
            <rFont val="Tahoma"/>
            <family val="0"/>
          </rPr>
          <t>sfjsl1:</t>
        </r>
        <r>
          <rPr>
            <sz val="8"/>
            <rFont val="Tahoma"/>
            <family val="0"/>
          </rPr>
          <t xml:space="preserve">
Actualizar DATO: cuadre caja</t>
        </r>
      </text>
    </comment>
    <comment ref="C40" authorId="0">
      <text>
        <r>
          <rPr>
            <b/>
            <sz val="8"/>
            <rFont val="Tahoma"/>
            <family val="0"/>
          </rPr>
          <t>sfjsl1:</t>
        </r>
        <r>
          <rPr>
            <sz val="8"/>
            <rFont val="Tahoma"/>
            <family val="0"/>
          </rPr>
          <t xml:space="preserve">
Actualizar DATO</t>
        </r>
      </text>
    </comment>
    <comment ref="A47" authorId="0">
      <text>
        <r>
          <rPr>
            <b/>
            <sz val="8"/>
            <rFont val="Tahoma"/>
            <family val="0"/>
          </rPr>
          <t>sfjsl1:</t>
        </r>
        <r>
          <rPr>
            <sz val="8"/>
            <rFont val="Tahoma"/>
            <family val="0"/>
          </rPr>
          <t xml:space="preserve">
Actualizar con listado de morosidad</t>
        </r>
      </text>
    </comment>
    <comment ref="D141" authorId="0">
      <text>
        <r>
          <rPr>
            <b/>
            <sz val="8"/>
            <rFont val="Tahoma"/>
            <family val="0"/>
          </rPr>
          <t>sfjsl1:</t>
        </r>
        <r>
          <rPr>
            <sz val="8"/>
            <rFont val="Tahoma"/>
            <family val="0"/>
          </rPr>
          <t xml:space="preserve">
ACTUALIZAR</t>
        </r>
      </text>
    </comment>
    <comment ref="C43" authorId="0">
      <text>
        <r>
          <rPr>
            <b/>
            <sz val="8"/>
            <rFont val="Tahoma"/>
            <family val="0"/>
          </rPr>
          <t>sfjsl1:</t>
        </r>
        <r>
          <rPr>
            <sz val="8"/>
            <rFont val="Tahoma"/>
            <family val="0"/>
          </rPr>
          <t xml:space="preserve">
Actualizar DATO</t>
        </r>
      </text>
    </comment>
    <comment ref="M56" authorId="0">
      <text>
        <r>
          <rPr>
            <b/>
            <sz val="8"/>
            <rFont val="Tahoma"/>
            <family val="0"/>
          </rPr>
          <t>sfjsl1:</t>
        </r>
        <r>
          <rPr>
            <sz val="8"/>
            <rFont val="Tahoma"/>
            <family val="0"/>
          </rPr>
          <t xml:space="preserve">
Cómo proceder para la mora &gt; 180 días de EMP BAN 1:
1) Corregimos la mora &gt; 365 días
  - Dato de la AP menos dato Proceso ==&gt; ajuste para la celda +180 días
2) Sumamos los judiciales (legal) ==&gt; ajustamos esta cifra
  - Sumamos cta Balance 426 + 428 - w-o contencioso Proceso
(==&gt; todo exceso en el ajuste de w-o se añade al saldo de mora &gt; 180 días)
* El saldo de judicial (w-o + no w-o) NO está bien distribuido. El TOTAl SÍ es correcto</t>
        </r>
      </text>
    </comment>
  </commentList>
</comments>
</file>

<file path=xl/comments8.xml><?xml version="1.0" encoding="utf-8"?>
<comments xmlns="http://schemas.openxmlformats.org/spreadsheetml/2006/main">
  <authors>
    <author>sfjsl1</author>
  </authors>
  <commentList>
    <comment ref="G13" authorId="0">
      <text>
        <r>
          <rPr>
            <b/>
            <sz val="8"/>
            <rFont val="Tahoma"/>
            <family val="0"/>
          </rPr>
          <t>sfjsl1:</t>
        </r>
        <r>
          <rPr>
            <sz val="8"/>
            <rFont val="Tahoma"/>
            <family val="0"/>
          </rPr>
          <t xml:space="preserve">
Actualizar DATO</t>
        </r>
      </text>
    </comment>
    <comment ref="G18" authorId="0">
      <text>
        <r>
          <rPr>
            <b/>
            <sz val="8"/>
            <rFont val="Tahoma"/>
            <family val="0"/>
          </rPr>
          <t>sfjsl1:</t>
        </r>
        <r>
          <rPr>
            <sz val="8"/>
            <rFont val="Tahoma"/>
            <family val="0"/>
          </rPr>
          <t xml:space="preserve">
Actualizar DATO</t>
        </r>
      </text>
    </comment>
    <comment ref="C42" authorId="0">
      <text>
        <r>
          <rPr>
            <b/>
            <sz val="8"/>
            <rFont val="Tahoma"/>
            <family val="0"/>
          </rPr>
          <t>sfjsl1:</t>
        </r>
        <r>
          <rPr>
            <sz val="8"/>
            <rFont val="Tahoma"/>
            <family val="0"/>
          </rPr>
          <t xml:space="preserve">
Actualizar DATO</t>
        </r>
      </text>
    </comment>
    <comment ref="G24" authorId="0">
      <text>
        <r>
          <rPr>
            <b/>
            <sz val="8"/>
            <rFont val="Tahoma"/>
            <family val="0"/>
          </rPr>
          <t>sfjsl1:</t>
        </r>
        <r>
          <rPr>
            <sz val="8"/>
            <rFont val="Tahoma"/>
            <family val="0"/>
          </rPr>
          <t xml:space="preserve">
Actualizar DATO</t>
        </r>
      </text>
    </comment>
    <comment ref="G37" authorId="0">
      <text>
        <r>
          <rPr>
            <b/>
            <sz val="8"/>
            <rFont val="Tahoma"/>
            <family val="0"/>
          </rPr>
          <t>sfjsl1:</t>
        </r>
        <r>
          <rPr>
            <sz val="8"/>
            <rFont val="Tahoma"/>
            <family val="0"/>
          </rPr>
          <t xml:space="preserve">
Actualizar DATO: cuadre caja</t>
        </r>
      </text>
    </comment>
    <comment ref="C40" authorId="0">
      <text>
        <r>
          <rPr>
            <b/>
            <sz val="8"/>
            <rFont val="Tahoma"/>
            <family val="0"/>
          </rPr>
          <t>sfjsl1:</t>
        </r>
        <r>
          <rPr>
            <sz val="8"/>
            <rFont val="Tahoma"/>
            <family val="0"/>
          </rPr>
          <t xml:space="preserve">
Actualizar DATO</t>
        </r>
      </text>
    </comment>
    <comment ref="A44" authorId="0">
      <text>
        <r>
          <rPr>
            <b/>
            <sz val="8"/>
            <rFont val="Tahoma"/>
            <family val="0"/>
          </rPr>
          <t>sfjsl1:</t>
        </r>
        <r>
          <rPr>
            <sz val="8"/>
            <rFont val="Tahoma"/>
            <family val="0"/>
          </rPr>
          <t xml:space="preserve">
Actualizar con listado de morosidad</t>
        </r>
      </text>
    </comment>
    <comment ref="G38" authorId="0">
      <text>
        <r>
          <rPr>
            <b/>
            <sz val="8"/>
            <rFont val="Tahoma"/>
            <family val="0"/>
          </rPr>
          <t>sfjsl1:</t>
        </r>
        <r>
          <rPr>
            <sz val="8"/>
            <rFont val="Tahoma"/>
            <family val="0"/>
          </rPr>
          <t xml:space="preserve">
Actualizar DATO: cuadre caja</t>
        </r>
      </text>
    </comment>
    <comment ref="C22" authorId="0">
      <text>
        <r>
          <rPr>
            <b/>
            <sz val="8"/>
            <rFont val="Tahoma"/>
            <family val="0"/>
          </rPr>
          <t>sfjsl1:</t>
        </r>
        <r>
          <rPr>
            <sz val="8"/>
            <rFont val="Tahoma"/>
            <family val="0"/>
          </rPr>
          <t xml:space="preserve">
METER DATO DE LA ANTERIOR f.p.</t>
        </r>
      </text>
    </comment>
  </commentList>
</comments>
</file>

<file path=xl/sharedStrings.xml><?xml version="1.0" encoding="utf-8"?>
<sst xmlns="http://schemas.openxmlformats.org/spreadsheetml/2006/main" count="2693" uniqueCount="1525">
  <si>
    <t>March 17th, 2009</t>
  </si>
  <si>
    <t>2. Applicable to next Interest Accrual Period:</t>
  </si>
  <si>
    <t>3. Reference rate: EURIBOR applicable to three (3) months</t>
  </si>
  <si>
    <t>deposits is pesetas appearing on the "REUTERS" "EURIBOR01"</t>
  </si>
  <si>
    <t>at 11:00 a.m. (BRUSSELS Time) on the aforementioned Fixing Date:</t>
  </si>
  <si>
    <t xml:space="preserve">4. Margin: </t>
  </si>
  <si>
    <t>5. INTEREST RATE APPLICABLES</t>
  </si>
  <si>
    <t>Santander de Titulización</t>
  </si>
  <si>
    <t>saldo 5701</t>
  </si>
  <si>
    <t>gastos emision retenidos</t>
  </si>
  <si>
    <t>f.reserva</t>
  </si>
  <si>
    <t>ph</t>
  </si>
  <si>
    <t>intereses cuenta</t>
  </si>
  <si>
    <t>intereses ph</t>
  </si>
  <si>
    <t>OK</t>
  </si>
  <si>
    <t>PK</t>
  </si>
  <si>
    <t>EL PAGO DESDE EL 5º LUGAR</t>
  </si>
  <si>
    <t>SWAP</t>
  </si>
  <si>
    <t>Pago de Bonos</t>
  </si>
  <si>
    <t>Serie D</t>
  </si>
  <si>
    <r>
      <t xml:space="preserve">Judiciales </t>
    </r>
    <r>
      <rPr>
        <b/>
        <vertAlign val="superscript"/>
        <sz val="10"/>
        <color indexed="9"/>
        <rFont val="Arial"/>
        <family val="2"/>
      </rPr>
      <t>2</t>
    </r>
  </si>
  <si>
    <t>GLOSARIO DE DEFINICIONES</t>
  </si>
  <si>
    <r>
      <t xml:space="preserve">WRITE OFF: </t>
    </r>
    <r>
      <rPr>
        <sz val="10"/>
        <rFont val="Arial"/>
        <family val="2"/>
      </rPr>
      <t>Préstamos con cuotas pendientes con antigüedad igual o superior a 12 ó 18 meses (según Folleto Informativo).</t>
    </r>
  </si>
  <si>
    <r>
      <t xml:space="preserve">JUDICIAL: </t>
    </r>
    <r>
      <rPr>
        <sz val="10"/>
        <rFont val="Arial"/>
        <family val="2"/>
      </rPr>
      <t>Préstamos sobre los que el Cedente va a iniciar acciones judiciales. Esta cantidad está incluida en el cuadro de morosidad</t>
    </r>
  </si>
  <si>
    <t>GLOSSARY OF DEFINITIONS</t>
  </si>
  <si>
    <r>
      <t>WRITE OFF</t>
    </r>
    <r>
      <rPr>
        <sz val="10"/>
        <rFont val="Arial"/>
        <family val="0"/>
      </rPr>
      <t>: Those loans that at a given date are unpaid for a period equal or higher to 12 or 18 months (according to Prospectus)</t>
    </r>
  </si>
  <si>
    <t>Amortización Serie D</t>
  </si>
  <si>
    <t>desembolso</t>
  </si>
  <si>
    <t>INT.RETENIDOS BONOS</t>
  </si>
  <si>
    <t>Serie A1</t>
  </si>
  <si>
    <t>Serie A2</t>
  </si>
  <si>
    <t>Amortización Serie A1</t>
  </si>
  <si>
    <t>Amortización Serie A2</t>
  </si>
  <si>
    <t>TIENE QUE SER FIJO HASTA 17/03/2010</t>
  </si>
  <si>
    <t>Actual Fp</t>
  </si>
  <si>
    <t>Anterior Fp</t>
  </si>
  <si>
    <t>calculadora</t>
  </si>
  <si>
    <t>EL PAGO DESDE EL 6º LUGAR</t>
  </si>
  <si>
    <t>10-. INTERESES S.C. CUANDO SE POSTERGUE</t>
  </si>
  <si>
    <t>EL PAGO DESDE EL 7º LUGAR</t>
  </si>
  <si>
    <t>comprobación</t>
  </si>
  <si>
    <t>importe amort Bonos</t>
  </si>
  <si>
    <t>--</t>
  </si>
  <si>
    <t>DEVENGADA PARA AMORTIZACIÓN (A1 - D)</t>
  </si>
  <si>
    <r>
      <t xml:space="preserve">SALDO VIVO DE LOS PRÉSTAMOS MOROSOS (EXCLUIDOS FALLIDOS </t>
    </r>
    <r>
      <rPr>
        <b/>
        <sz val="12"/>
        <rFont val="Arial"/>
        <family val="0"/>
      </rPr>
      <t>≥</t>
    </r>
    <r>
      <rPr>
        <b/>
        <i/>
        <sz val="12"/>
        <rFont val="SWISS"/>
        <family val="0"/>
      </rPr>
      <t xml:space="preserve"> 12meses)</t>
    </r>
  </si>
  <si>
    <t>(i) el Saldo Vivo de los Préstamos no Morosos, incrementado en el importe de los ingresos percibidos</t>
  </si>
  <si>
    <t>por el reembolso del principal de los Préstamos durante el Período de Determinación precedente</t>
  </si>
  <si>
    <t>(ii) la suma del Saldo de Principal Pendiente de Pago de las Series A1 y A2, fuera inferior o igual a 1</t>
  </si>
  <si>
    <t>(i) / (ii)</t>
  </si>
  <si>
    <t>7,00% de la suma del Saldo de Principal Pendiente de las Series A1, A2, B, C y D</t>
  </si>
  <si>
    <t>i) que el saldo de Principal Pendiente de la Serie C sea igual o mayor al 3,50%</t>
  </si>
  <si>
    <t>ajuste intereses (set 2009)</t>
  </si>
  <si>
    <t>de la suma del Saldo de Principal Pendiente de las Series A1, A2, B, C y D</t>
  </si>
  <si>
    <t>i) que el saldo de Principal Pendiente de la Serie D sea igual o mayor al 3,50%</t>
  </si>
  <si>
    <t>(i) =&gt;</t>
  </si>
  <si>
    <t>(ii) =&gt;</t>
  </si>
  <si>
    <t>En la Fecha de Determinación precedente a la Fecha de Pago correspondiente:</t>
  </si>
  <si>
    <t>9-. INTERESES S.B. CUANDO SE POSTERGUE</t>
  </si>
  <si>
    <t>11-. INTERESES S.D. CUANDO SE POSTERGUE</t>
  </si>
  <si>
    <t>13.- SWAP: PAGO LIQUIDATIVO</t>
  </si>
  <si>
    <t>PARA FONDO DE RESERVA</t>
  </si>
  <si>
    <t>PARA GTOS. CONSTITUCIÓN</t>
  </si>
  <si>
    <t>Déficit de Principales fuera superior a la suma de:</t>
  </si>
  <si>
    <t xml:space="preserve"> (i) el 75% del Saldo de Principal Pendiente de la Serie B, más</t>
  </si>
  <si>
    <t xml:space="preserve"> (ii) el Saldo de Principal pendiente de las Series C y D, </t>
  </si>
  <si>
    <t xml:space="preserve"> (i) el 75% del Saldo de Principal Pendiente de la Serie C, más</t>
  </si>
  <si>
    <t xml:space="preserve"> (ii) el Saldo de Principal pendiente de las Serie D, </t>
  </si>
  <si>
    <t xml:space="preserve"> (i) el 75% del Saldo de Principal Pendiente de la Serie D, más</t>
  </si>
  <si>
    <t>AT LEAST ONE CASH RESERVE TRIGGER HAS BEEN BREACHED FROM POINT 2., SO THE RESERVE FUND WILL NOT BE LOWERED</t>
  </si>
  <si>
    <t>El déficit de principales (el "Déficit de Principales") en una Fecha de Pago será la</t>
  </si>
  <si>
    <t>diferencia positiva, si existiera, entre (i) el importe de la Retención de Principales, y (ii) el</t>
  </si>
  <si>
    <t>importe efectivamente aplicado de los Fondos Disponibles a la Retención de Principales.</t>
  </si>
  <si>
    <t>del Salvo Vivo de los Bonos de las Series A1, A2, B, C y D</t>
  </si>
  <si>
    <t>• si el porcentaje de Activos morosos entre noventa (90) días y dieciocho (12) meses</t>
  </si>
  <si>
    <t>sobre el Saldo Vivo de los Activos no Fallidos es superior al uno por ciento (1,50%);</t>
  </si>
  <si>
    <t>• No podrá disminuir durante los dos (2) primeros años</t>
  </si>
  <si>
    <t>y no se hubiera producido la completa amortización de los Bonos de las Series que no están subordinadas para cada caso</t>
  </si>
  <si>
    <t>Interés aplicado</t>
  </si>
  <si>
    <t>€ referencia Bonos</t>
  </si>
  <si>
    <t>diferencial</t>
  </si>
  <si>
    <t>base</t>
  </si>
  <si>
    <t>días periodo</t>
  </si>
  <si>
    <t>Amortización PS (FR)</t>
  </si>
  <si>
    <t>Amortización PS (Gtos Iniciales)</t>
  </si>
  <si>
    <t>Banesto</t>
  </si>
  <si>
    <t>AAA</t>
  </si>
  <si>
    <t>A</t>
  </si>
  <si>
    <t>BBB-</t>
  </si>
  <si>
    <t>BB-</t>
  </si>
  <si>
    <t>Deuda Vencida (Principal+Intereses)</t>
  </si>
  <si>
    <t>ES0330866007</t>
  </si>
  <si>
    <t>ES0330866015</t>
  </si>
  <si>
    <t>ES0330866023</t>
  </si>
  <si>
    <t>ES0330866031</t>
  </si>
  <si>
    <t>ES0330866049</t>
  </si>
  <si>
    <t>Número de Derechos de Crédito</t>
  </si>
  <si>
    <t>Importes Unitarios</t>
  </si>
  <si>
    <t>Derechos de Crédito Vivos</t>
  </si>
  <si>
    <t>III. VALORES ADQUIRIDOS POR EL FONDO: Derechos de Crédito</t>
  </si>
  <si>
    <t>Saldo a Fecha de Pago anterior</t>
  </si>
  <si>
    <t>Saldo a Fecha de Pago actual</t>
  </si>
  <si>
    <t>N  300</t>
  </si>
  <si>
    <t>derechos de crédito</t>
  </si>
  <si>
    <t>N  305</t>
  </si>
  <si>
    <t>N  700</t>
  </si>
  <si>
    <t>intereses devengados</t>
  </si>
  <si>
    <t>. 700311</t>
  </si>
  <si>
    <t>. 70041</t>
  </si>
  <si>
    <t>. 70051</t>
  </si>
  <si>
    <t>intereses de SWAP</t>
  </si>
  <si>
    <t>intereses de c/c</t>
  </si>
  <si>
    <t>ingresos varios</t>
  </si>
  <si>
    <t>BALANCE DE SUMAS Y SALDOS  NIVEL: 0</t>
  </si>
  <si>
    <t>EUROS CONVERTIDOS</t>
  </si>
  <si>
    <t>Código</t>
  </si>
  <si>
    <t>Descripción</t>
  </si>
  <si>
    <t>Debe acumul.</t>
  </si>
  <si>
    <t>Haber acumul.</t>
  </si>
  <si>
    <t>Saldo actual</t>
  </si>
  <si>
    <t>Debe periodo</t>
  </si>
  <si>
    <t>Haber periodo</t>
  </si>
  <si>
    <t>Saldo periodo</t>
  </si>
  <si>
    <t>. 120</t>
  </si>
  <si>
    <t>. 1201</t>
  </si>
  <si>
    <t>MOROSIDAD &gt; 90 DÍAS</t>
  </si>
  <si>
    <t xml:space="preserve">          4.a) SALDO SERIE D ≥ 3,50% SALDO SERIES A1, A2, B, C y D</t>
  </si>
  <si>
    <t xml:space="preserve">          4.a) OUTSTANDING BALANCE SERIES D ≥ 3,50% OUTSTANDING BALANCE SERIES A1 to D</t>
  </si>
  <si>
    <t>. 1202</t>
  </si>
  <si>
    <t>B</t>
  </si>
  <si>
    <t>N  120</t>
  </si>
  <si>
    <t>. 130</t>
  </si>
  <si>
    <t>. 1301</t>
  </si>
  <si>
    <t>. 1302</t>
  </si>
  <si>
    <t>. 1303</t>
  </si>
  <si>
    <t>. 1304</t>
  </si>
  <si>
    <t>. 1305</t>
  </si>
  <si>
    <t>N  130</t>
  </si>
  <si>
    <t>. 200</t>
  </si>
  <si>
    <t>GASTOS DE EMISION</t>
  </si>
  <si>
    <t>. 2000</t>
  </si>
  <si>
    <t>GASTOS DE CONSTITUCION</t>
  </si>
  <si>
    <t>. 2001</t>
  </si>
  <si>
    <t>N  200</t>
  </si>
  <si>
    <t>. 300</t>
  </si>
  <si>
    <t>. 3001</t>
  </si>
  <si>
    <t>. 30010</t>
  </si>
  <si>
    <t>. 3002</t>
  </si>
  <si>
    <t>ENTREGAS</t>
  </si>
  <si>
    <t>. 3003</t>
  </si>
  <si>
    <t>AMORTIZACIONES COBRADAS M</t>
  </si>
  <si>
    <t>. 3004</t>
  </si>
  <si>
    <t>AMORTIZACIONES COBRADAS R</t>
  </si>
  <si>
    <t>. 3005</t>
  </si>
  <si>
    <t>AMORTIZACION.RDAS.RLIQ.R</t>
  </si>
  <si>
    <t>. 3006</t>
  </si>
  <si>
    <t>CANCELACIONES</t>
  </si>
  <si>
    <t>. 3007</t>
  </si>
  <si>
    <t>AMORT.RDAS.RELIQ.M COBRAD</t>
  </si>
  <si>
    <t>. 3008</t>
  </si>
  <si>
    <t>AMORTIZACION CUOTAS 9000</t>
  </si>
  <si>
    <t>. 3009</t>
  </si>
  <si>
    <t>RELIQUIDACIONES ENTREGAS</t>
  </si>
  <si>
    <t>. 305</t>
  </si>
  <si>
    <t>. 3051</t>
  </si>
  <si>
    <t>. 30510</t>
  </si>
  <si>
    <t>RECLASIF.SALDOS PRESTAMOS</t>
  </si>
  <si>
    <t>. 3052</t>
  </si>
  <si>
    <t>. 3053</t>
  </si>
  <si>
    <t>. 3054</t>
  </si>
  <si>
    <t>. 3055</t>
  </si>
  <si>
    <t>. 3056</t>
  </si>
  <si>
    <t>. 3057</t>
  </si>
  <si>
    <t>. 3058</t>
  </si>
  <si>
    <t>. 310</t>
  </si>
  <si>
    <t>AMORTIZACIONES VENCIDAS R</t>
  </si>
  <si>
    <t>. 3101</t>
  </si>
  <si>
    <t>AMORTIZACIONES LIQUID.R</t>
  </si>
  <si>
    <t>. 3102</t>
  </si>
  <si>
    <t>AMORTIZ.TRASP."M" A "R"</t>
  </si>
  <si>
    <t>. 3103</t>
  </si>
  <si>
    <t>AMORTIZACIONES COBRADAS</t>
  </si>
  <si>
    <t>. 3104</t>
  </si>
  <si>
    <t>AMORTIZ.RELIQ.POR CAN "R"</t>
  </si>
  <si>
    <t>. 3105</t>
  </si>
  <si>
    <t>AMORT.RELIQ.POR CAN "M"</t>
  </si>
  <si>
    <t>N  310</t>
  </si>
  <si>
    <t>. 315</t>
  </si>
  <si>
    <t>. 3151</t>
  </si>
  <si>
    <t>. 3152</t>
  </si>
  <si>
    <t>. 3153</t>
  </si>
  <si>
    <t>. 3154</t>
  </si>
  <si>
    <t>. 3155</t>
  </si>
  <si>
    <t>N  315</t>
  </si>
  <si>
    <t>. 320</t>
  </si>
  <si>
    <t>AMORT.VENCIDAS "M"</t>
  </si>
  <si>
    <t>. 3201</t>
  </si>
  <si>
    <t>AMORTIZ.LIQUIDADAS "M"</t>
  </si>
  <si>
    <t>. 3202</t>
  </si>
  <si>
    <t>TRASP.AMORTIZ."M" A "R"</t>
  </si>
  <si>
    <t>. 3203</t>
  </si>
  <si>
    <t>COBRO DE AMORTIZAC. "M"</t>
  </si>
  <si>
    <t>. 3204</t>
  </si>
  <si>
    <t>AMORTIZ.RDAS.POR RLIQ."M"</t>
  </si>
  <si>
    <t>. 3205</t>
  </si>
  <si>
    <t>AMORT.RDAS.POR CANCEL.M</t>
  </si>
  <si>
    <t>N  320</t>
  </si>
  <si>
    <t>. 325</t>
  </si>
  <si>
    <t>. 3251</t>
  </si>
  <si>
    <t>. 3252</t>
  </si>
  <si>
    <t>. 3253</t>
  </si>
  <si>
    <t>. 3254</t>
  </si>
  <si>
    <t>. 3255</t>
  </si>
  <si>
    <t>N  325</t>
  </si>
  <si>
    <t>. 400</t>
  </si>
  <si>
    <t>CUOTAS VENCIDAS "R"</t>
  </si>
  <si>
    <t>. 4001</t>
  </si>
  <si>
    <t>CUOTAS LIQUIDADAS "R"</t>
  </si>
  <si>
    <t>. 4002</t>
  </si>
  <si>
    <t>CUOTAS TRASPASAD."M" A "R</t>
  </si>
  <si>
    <t>. 4003</t>
  </si>
  <si>
    <t>COBRO DE CUOTAS "R"</t>
  </si>
  <si>
    <t>. 4004</t>
  </si>
  <si>
    <t>CUOTAS RDAS.POR CAN "R"</t>
  </si>
  <si>
    <t>SFJGA1                  2/07/10   12:54</t>
  </si>
  <si>
    <t>Selección de fechas. Desde: 01/01/10 a 30/06/10 y periodo: 01/01/10 a 30/06/10</t>
  </si>
  <si>
    <t>. 4005</t>
  </si>
  <si>
    <t>CUOTAS RDAS.POR RELI."R"</t>
  </si>
  <si>
    <t>N  400</t>
  </si>
  <si>
    <t>. 405</t>
  </si>
  <si>
    <t>. 4051</t>
  </si>
  <si>
    <t>. 4052</t>
  </si>
  <si>
    <t>. 4053</t>
  </si>
  <si>
    <t>. 4054</t>
  </si>
  <si>
    <t>. 4055</t>
  </si>
  <si>
    <t>N  405</t>
  </si>
  <si>
    <t>. 410</t>
  </si>
  <si>
    <t>CUOTAS VENCIDAS "M"</t>
  </si>
  <si>
    <t>. 4101</t>
  </si>
  <si>
    <t>CUOTAS LIQUIDADAS "M"</t>
  </si>
  <si>
    <t>. 4102</t>
  </si>
  <si>
    <t>CUOTAS TRASP."M" A "R"</t>
  </si>
  <si>
    <t>. 4103</t>
  </si>
  <si>
    <t>COBRO DE CUOTAS</t>
  </si>
  <si>
    <t>. 4104</t>
  </si>
  <si>
    <t>CUOTAS RDAS.POR CAN."M"</t>
  </si>
  <si>
    <t>. 4105</t>
  </si>
  <si>
    <t>ajustes Banesto</t>
  </si>
  <si>
    <t>judicial ==&gt;</t>
  </si>
  <si>
    <t>w-o vivo ==&gt;</t>
  </si>
  <si>
    <t>w-o judicial ==&gt;</t>
  </si>
  <si>
    <t>saldo judicial + w-o (malo) - w-o (bueno)</t>
  </si>
  <si>
    <t>DC ==&gt;</t>
  </si>
  <si>
    <t>ajuste saldo DC</t>
  </si>
  <si>
    <t>CUOTAS RDAS.POR RELIQ. M</t>
  </si>
  <si>
    <t>N  410</t>
  </si>
  <si>
    <t>. 415</t>
  </si>
  <si>
    <t>. 4151</t>
  </si>
  <si>
    <t>. 4152</t>
  </si>
  <si>
    <t>. 4153</t>
  </si>
  <si>
    <t>. 4154</t>
  </si>
  <si>
    <t>. 4155</t>
  </si>
  <si>
    <t>N  415</t>
  </si>
  <si>
    <t>. 420</t>
  </si>
  <si>
    <t>INTERESES VENCIDOS "M"</t>
  </si>
  <si>
    <t>. 4201</t>
  </si>
  <si>
    <t>INTERESES LIQUIDADOS "M"</t>
  </si>
  <si>
    <t>. 4202</t>
  </si>
  <si>
    <t>DESDE:</t>
  </si>
  <si>
    <t>HASTA:</t>
  </si>
  <si>
    <t>euribor 3 meses:</t>
  </si>
  <si>
    <t>int. Bruto / bono</t>
  </si>
  <si>
    <t>retención / bono</t>
  </si>
  <si>
    <t>int. Neto / bono</t>
  </si>
  <si>
    <t>INTERESES COBRADOS "M"</t>
  </si>
  <si>
    <t>. 4203</t>
  </si>
  <si>
    <t>INT.TRASPASADOS "M" A RDO</t>
  </si>
  <si>
    <t>. 4204</t>
  </si>
  <si>
    <t>INTERESES RETROC.CANCELAC</t>
  </si>
  <si>
    <t>. 4205</t>
  </si>
  <si>
    <t>INTERESES RETROC.RELIQUID</t>
  </si>
  <si>
    <t>N  420</t>
  </si>
  <si>
    <t>. 425</t>
  </si>
  <si>
    <t>. 4251</t>
  </si>
  <si>
    <t>. 4252</t>
  </si>
  <si>
    <t>. 4253</t>
  </si>
  <si>
    <t>. 4254</t>
  </si>
  <si>
    <t>. 4255</t>
  </si>
  <si>
    <t>. 4256</t>
  </si>
  <si>
    <t>CANCELACIONES P.DUDOSOS</t>
  </si>
  <si>
    <t>. 4257</t>
  </si>
  <si>
    <t>AMORT.RDAS POR REL.M P.DU</t>
  </si>
  <si>
    <t>. 4258</t>
  </si>
  <si>
    <t>AMORTIZACION C. 9000 P.DU</t>
  </si>
  <si>
    <t>. 4259</t>
  </si>
  <si>
    <t>UP TO 30 DAYS</t>
  </si>
  <si>
    <t>30 TO 60 DAYS</t>
  </si>
  <si>
    <t>60 TO 90 DAYS</t>
  </si>
  <si>
    <t>90 TO 180 DAYS</t>
  </si>
  <si>
    <t>Principal Balance in Arrears</t>
  </si>
  <si>
    <t>Number of Mortgage Participation</t>
  </si>
  <si>
    <t>% of Outstanding Balance</t>
  </si>
  <si>
    <t>mayor que (ii)+(iii):</t>
  </si>
  <si>
    <t>mayor que (ii):</t>
  </si>
  <si>
    <t>Interest received during relevant period</t>
  </si>
  <si>
    <t>Interest accrued during relevant period</t>
  </si>
  <si>
    <t>Number of Mortgage Loans</t>
  </si>
  <si>
    <t>TOTAL CASH RECEIVED END OF PERIOD</t>
  </si>
  <si>
    <t>TOTAL CASH PAID END OF PERIOD</t>
  </si>
  <si>
    <t xml:space="preserve">     Loan Amortisation</t>
  </si>
  <si>
    <t xml:space="preserve">     Interest received under GIC</t>
  </si>
  <si>
    <t xml:space="preserve">     Interest received from Loans</t>
  </si>
  <si>
    <t>TREASURY ACCOUNT STATEMENT</t>
  </si>
  <si>
    <t>a) RESERVE FUND</t>
  </si>
  <si>
    <t>a) PRINCIPAL DUE ON LOANS</t>
  </si>
  <si>
    <t xml:space="preserve">     1. Previous Balance</t>
  </si>
  <si>
    <t xml:space="preserve">     2. Period utilization</t>
  </si>
  <si>
    <t xml:space="preserve">     3. Outstanding Balance</t>
  </si>
  <si>
    <t>b) AMOUNT WITHHELD</t>
  </si>
  <si>
    <t>CREDIT ENHACEMENT</t>
  </si>
  <si>
    <t>Subordinated Series</t>
  </si>
  <si>
    <t>Reserve Fund</t>
  </si>
  <si>
    <t>CONCEPTS</t>
  </si>
  <si>
    <t>inicial date</t>
  </si>
  <si>
    <t>SUBORDINATED LOAN</t>
  </si>
  <si>
    <t>Total Outstanding</t>
  </si>
  <si>
    <t xml:space="preserve">Interest Rate </t>
  </si>
  <si>
    <t>RESERVE FUND TRIGGERS</t>
  </si>
  <si>
    <t xml:space="preserve">   R.F. SHALL BE THE LOWER</t>
  </si>
  <si>
    <t xml:space="preserve">          1.a) INITIAL CASH RESERVE</t>
  </si>
  <si>
    <t xml:space="preserve">          1.b) THE HIGHER OF:</t>
  </si>
  <si>
    <t xml:space="preserve">             1.b.2) 1,00% INITIAL BONDS OUTSTANDING</t>
  </si>
  <si>
    <t xml:space="preserve">             1.b.1) 3,80% CURRENT BONDS OUTSTANDING</t>
  </si>
  <si>
    <t>1. CASH RESERVE:</t>
  </si>
  <si>
    <t>2. NEITHER 2.a), 2.b) NOR 2.c) SHALL OCCUR</t>
  </si>
  <si>
    <t xml:space="preserve">          2.b) LOANS IN ARREARS &gt;1,50% LOANS WITHOUT WRITE-OFF</t>
  </si>
  <si>
    <t xml:space="preserve">          2.a) R.F NOT PROVISIONED UP COMPLETELY</t>
  </si>
  <si>
    <t>BONDS TRIGGER</t>
  </si>
  <si>
    <t>1. PRINCIPAL REDEMPTION OF SERIES A1 and A2</t>
  </si>
  <si>
    <t xml:space="preserve">   PRORRATA, IF 1.a)/1.b) &lt; 1</t>
  </si>
  <si>
    <t xml:space="preserve">   SECUENTIAL, IF 1.a)/1.b) ≥ 1</t>
  </si>
  <si>
    <t xml:space="preserve">          1.a) CURRENT LOANS + PPAL REDEMTION IN DETERMINATION PERIOD</t>
  </si>
  <si>
    <t>2. PRINCIPAL REDEMTION OF SERIES B IF:</t>
  </si>
  <si>
    <t xml:space="preserve">          2.a) OUTSTANDING BALANCE SERIES B ≥ 7,00% OUTSTANDING BALANCE SERIES A1 to D</t>
  </si>
  <si>
    <t xml:space="preserve">          2.b) LOANS IN ARREARS &lt; 1,25% LOANS WITHOUT WRITE-OFFS</t>
  </si>
  <si>
    <t>3. PRINCIPAL REDEMPTION OF SERIES C IF:</t>
  </si>
  <si>
    <t xml:space="preserve">          3.a) OUTSTANDING BALANCE SERIES C ≥ 3,50% OUTSTANDING BALANCE SERIES A1 to D</t>
  </si>
  <si>
    <t xml:space="preserve">          3.b) LOANS IN ARREARS &lt; 1,00% LOANS WITHOUT WRITE-OFFS</t>
  </si>
  <si>
    <t>Saldo anterior Préstamos Hipot.</t>
  </si>
  <si>
    <t xml:space="preserve">          4.b) LOANS IN ARREARS &lt; 0,75% LOANS WITHOUT WRITE-OFFS</t>
  </si>
  <si>
    <t>4. PRINCIPAL REDEMTION OF SERIES D IF:</t>
  </si>
  <si>
    <t>5. PRORRATA REDEMPTION FOR SERIES A1, A2, B,C  and/or D</t>
  </si>
  <si>
    <t xml:space="preserve">          5.a) R.F. FUNDED &lt; R.F. DUE</t>
  </si>
  <si>
    <t xml:space="preserve">          5.b) LOANS OUTSTANDING BALANCE &lt;10% INITIAL OUTSTANDING BALANCE</t>
  </si>
  <si>
    <t>Number of Days (Act /360)</t>
  </si>
  <si>
    <t xml:space="preserve">          1.b) OUTSTANDING BALANCE SERIES A1 and A2</t>
  </si>
  <si>
    <t>RELIQUIDAC.ENTREGAS P.DUD</t>
  </si>
  <si>
    <t>N  425</t>
  </si>
  <si>
    <t>. 430</t>
  </si>
  <si>
    <t>HACIENDA PUBLICA DEUDORA</t>
  </si>
  <si>
    <t>. 4301</t>
  </si>
  <si>
    <t>INTERESES RETENID.CTA.COR</t>
  </si>
  <si>
    <t>N  430</t>
  </si>
  <si>
    <t>. 431</t>
  </si>
  <si>
    <t>HACIENDA PUBLICA ACREEDOR</t>
  </si>
  <si>
    <t>. 4311</t>
  </si>
  <si>
    <t>. 4312</t>
  </si>
  <si>
    <t>RETENCIONES A PROFESIONAL</t>
  </si>
  <si>
    <t>. 4313</t>
  </si>
  <si>
    <t>H.P.ACREEDOR POR IVA</t>
  </si>
  <si>
    <t>N  431</t>
  </si>
  <si>
    <t>. 47031</t>
  </si>
  <si>
    <t>N  470</t>
  </si>
  <si>
    <t>FECHA DE PAGO actual</t>
  </si>
  <si>
    <t>FECHA DE PAGO próxima</t>
  </si>
  <si>
    <t>Por Series</t>
  </si>
  <si>
    <t>Por Bono</t>
  </si>
  <si>
    <t>intereses</t>
  </si>
  <si>
    <t>. 000</t>
  </si>
  <si>
    <t>CUENTAS DE ORDEN</t>
  </si>
  <si>
    <t>. 0001</t>
  </si>
  <si>
    <t>N  000</t>
  </si>
  <si>
    <t>. 001</t>
  </si>
  <si>
    <t>SWAPS FINANCIACION</t>
  </si>
  <si>
    <t>. 0010</t>
  </si>
  <si>
    <t>N  001</t>
  </si>
  <si>
    <t>BANESTO</t>
  </si>
  <si>
    <t xml:space="preserve">INFORME TRIMESTRAL BONOS DE TITULIZACIÓN </t>
  </si>
  <si>
    <t>DATOS</t>
  </si>
  <si>
    <t>Saldo anterior</t>
  </si>
  <si>
    <t>Fecha de determinación</t>
  </si>
  <si>
    <t>Amortizaciones</t>
  </si>
  <si>
    <t>Fecha de Pago de Cupón Actual</t>
  </si>
  <si>
    <t>Fecha de Pago de Cupón Anterior</t>
  </si>
  <si>
    <t>% sobre saldo inicial</t>
  </si>
  <si>
    <t>Número de días (Act/360)</t>
  </si>
  <si>
    <t>Amort. devengada no pagada</t>
  </si>
  <si>
    <t>3 Meses Euribor (%)</t>
  </si>
  <si>
    <t>II. VALORES   EMITIDOS   POR   EL   FONDO:   BONOS   DE   TITULIZACION   DE    ACTIVOS</t>
  </si>
  <si>
    <t>Próxima Fecha de Pago</t>
  </si>
  <si>
    <t>VIDA RESIDUAL (AÑOS)</t>
  </si>
  <si>
    <t>fecha inicial</t>
  </si>
  <si>
    <t>fecha actual</t>
  </si>
  <si>
    <t>Intereses cobrados en trimestre</t>
  </si>
  <si>
    <t>Intereses devengados trimestre</t>
  </si>
  <si>
    <t>Número de préstamos</t>
  </si>
  <si>
    <t>Derechos de crédito</t>
  </si>
  <si>
    <t>Retención IRPF Profesionales</t>
  </si>
  <si>
    <t>Comisión Gestora</t>
  </si>
  <si>
    <t>Gastos de Emisión</t>
  </si>
  <si>
    <t>Importe desfase</t>
  </si>
  <si>
    <t>Saldo ajustado</t>
  </si>
  <si>
    <t>Saldo Préstamos</t>
  </si>
  <si>
    <t>Amortización cobrada</t>
  </si>
  <si>
    <t>Intereses cobrados</t>
  </si>
  <si>
    <t>Amortización préstamos</t>
  </si>
  <si>
    <t>Intereses reinversión</t>
  </si>
  <si>
    <t>Liquidez disponible</t>
  </si>
  <si>
    <t>Préstamos fallidos</t>
  </si>
  <si>
    <t>Saldo de morosidad &gt; 90 días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</si>
  <si>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</si>
  <si>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</si>
  <si>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</si>
  <si>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</si>
  <si>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</si>
  <si>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</si>
  <si>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</si>
  <si>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</si>
  <si>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</si>
  <si>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</si>
  <si>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</si>
  <si>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</si>
  <si>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</si>
  <si>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</si>
  <si>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</si>
  <si>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</si>
  <si>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</si>
  <si>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</si>
  <si>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</si>
  <si>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</si>
  <si>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</si>
  <si>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</si>
  <si>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</si>
  <si>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</si>
  <si>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Ajuste del Saldo Vivo</t>
  </si>
  <si>
    <t>e) RETENCIÓN LIBERADA</t>
  </si>
  <si>
    <t>E) AMOUNT WITHHELD</t>
  </si>
  <si>
    <t>cantidades devengadas no pagadas</t>
  </si>
  <si>
    <t>int devengados</t>
  </si>
  <si>
    <t>int pagados</t>
  </si>
  <si>
    <t>int no pagados</t>
  </si>
  <si>
    <t>Int. Prést. Subordinado (F.R.)</t>
  </si>
  <si>
    <t>PARA FONDO DE RESERVA (Intereses)</t>
  </si>
  <si>
    <t>Ppal. Prést. Subordinado (Gtos. Const.)</t>
  </si>
  <si>
    <t>Int. Prést. Subordinado (Gtos. Const.)</t>
  </si>
  <si>
    <t>LTV</t>
  </si>
  <si>
    <t>MOROSIDAD</t>
  </si>
  <si>
    <t>HASTA 30 DÍAS</t>
  </si>
  <si>
    <t>DE 30 A 60 DÍAS</t>
  </si>
  <si>
    <t>DE 60 A 90 DÍAS</t>
  </si>
  <si>
    <t>DE 90 A 180 DÍAS</t>
  </si>
  <si>
    <t>SFJGA1                 16/12/09   11:20</t>
  </si>
  <si>
    <t>Selección de fechas. Desde: 01/09/09 a 30/11/09 y periodo: 01/09/09 a 30/11/09</t>
  </si>
  <si>
    <t>Entorno:</t>
  </si>
  <si>
    <t>BNT    BANESTO</t>
  </si>
  <si>
    <t>Fondo:</t>
  </si>
  <si>
    <t>61    EMPRESAS BANESTO 1 FONDO DE TITULIZACION DE ACTIVOS</t>
  </si>
  <si>
    <t>Fecha de Proceso:</t>
  </si>
  <si>
    <t>Saldo de los Préstamos</t>
  </si>
  <si>
    <t>Número de Préstamos</t>
  </si>
  <si>
    <t>% sobre saldo DC´s</t>
  </si>
  <si>
    <t>ORIGEN</t>
  </si>
  <si>
    <t>APLICACIÓN</t>
  </si>
  <si>
    <t>a) PRINCIPAL COBRADO</t>
  </si>
  <si>
    <t xml:space="preserve">     Amortización DC´s</t>
  </si>
  <si>
    <t xml:space="preserve">     Intereses de DC´s</t>
  </si>
  <si>
    <t xml:space="preserve">     Intereses de Reinversión</t>
  </si>
  <si>
    <t>ESTADO DE LA CUENTA DE TESORERÍA</t>
  </si>
  <si>
    <t>a) FONDO DE RESERVA</t>
  </si>
  <si>
    <t>Tesorería</t>
  </si>
  <si>
    <t xml:space="preserve">     1. Saldo anterior</t>
  </si>
  <si>
    <t>TIPO INTERES CARTERA</t>
  </si>
  <si>
    <t>TIPO INTERES BONOS</t>
  </si>
  <si>
    <t>DIFERENCIAL</t>
  </si>
  <si>
    <t xml:space="preserve">     2. Utilizado en el período</t>
  </si>
  <si>
    <t xml:space="preserve">     3. Saldo actual</t>
  </si>
  <si>
    <t>. 4401</t>
  </si>
  <si>
    <t>(C.A.) reactivacion judic</t>
  </si>
  <si>
    <t>N  440</t>
  </si>
  <si>
    <t>????????</t>
  </si>
  <si>
    <t>MEJORA DE CRÉDITO</t>
  </si>
  <si>
    <t>CONCEPTOS</t>
  </si>
  <si>
    <t>Fondo de Reserva</t>
  </si>
  <si>
    <t>PRÉSTAMO SUBORDINADO</t>
  </si>
  <si>
    <t>Saldo Vivo</t>
  </si>
  <si>
    <t>Prést. Subordinado</t>
  </si>
  <si>
    <t>Tipo de interés</t>
  </si>
  <si>
    <t>TRIGGERS FONDO DE RESERVA</t>
  </si>
  <si>
    <t>TRIGGERS BONOS</t>
  </si>
  <si>
    <t xml:space="preserve">   A PRORRATA, SI 1.a)/1.b) &lt; 1</t>
  </si>
  <si>
    <r>
      <t xml:space="preserve">          2.c) FECHA DE PAGO </t>
    </r>
    <r>
      <rPr>
        <sz val="10"/>
        <rFont val="Arial"/>
        <family val="0"/>
      </rPr>
      <t>≤</t>
    </r>
    <r>
      <rPr>
        <sz val="10"/>
        <rFont val="Arial"/>
        <family val="2"/>
      </rPr>
      <t xml:space="preserve"> 05.10.2009</t>
    </r>
  </si>
  <si>
    <t xml:space="preserve">   SECUENCIAL, SI 1.a)/1.b) ≥ 1</t>
  </si>
  <si>
    <t xml:space="preserve">          1.a) DC´s NO MOROSOS + PPAL REEMBOLSADO EN PER. DETERMINACIÓN</t>
  </si>
  <si>
    <t xml:space="preserve">          1.b) SALDO SERIES A1 y A2</t>
  </si>
  <si>
    <t>2. LA SERIE B SE AMORTIZA SI:</t>
  </si>
  <si>
    <t>3. LA SERIE C SE AMORTIZA SI:</t>
  </si>
  <si>
    <t>PTO SUB.FONDO RESERVA</t>
  </si>
  <si>
    <t>PTO SUB.GASTOS CONSTITUC.</t>
  </si>
  <si>
    <t>BONOS DE TITULIZACION</t>
  </si>
  <si>
    <t>BONOS SERIE A</t>
  </si>
  <si>
    <t>BONOS SERIE B</t>
  </si>
  <si>
    <t>BONOS SERIE C</t>
  </si>
  <si>
    <t>SERIE C</t>
  </si>
  <si>
    <t>bonos serie d</t>
  </si>
  <si>
    <t>DERECHOS DE CREDITO</t>
  </si>
  <si>
    <t>RECLAS.PTOS DUDOSOS</t>
  </si>
  <si>
    <t>. 30011</t>
  </si>
  <si>
    <t>RECLAS.PTOS CONTENCIOSOS</t>
  </si>
  <si>
    <t>. 30012</t>
  </si>
  <si>
    <t>PRESTAMOS FALLIDOS</t>
  </si>
  <si>
    <t>PTOS NO HIPOTECARIOS</t>
  </si>
  <si>
    <t>ENTREGAS P.NO HIPOTECARIO</t>
  </si>
  <si>
    <t>AMORT.COBRADAS M PTO N0 H</t>
  </si>
  <si>
    <t>AMORT.COBRADAS R PTOS.NH</t>
  </si>
  <si>
    <t>AM. RETR. RDAS REL R NH</t>
  </si>
  <si>
    <t>CANCELACIONES PTOS.NO HIP</t>
  </si>
  <si>
    <t>AM.RDAS RELIQ.M.COB.P.NH</t>
  </si>
  <si>
    <t>38.000.000 € (1,90%)</t>
  </si>
  <si>
    <r>
      <t xml:space="preserve">Legal </t>
    </r>
    <r>
      <rPr>
        <b/>
        <vertAlign val="superscript"/>
        <sz val="10"/>
        <color indexed="9"/>
        <rFont val="Arial"/>
        <family val="2"/>
      </rPr>
      <t>2</t>
    </r>
  </si>
  <si>
    <r>
      <t>2</t>
    </r>
    <r>
      <rPr>
        <b/>
        <i/>
        <u val="single"/>
        <sz val="8"/>
        <rFont val="Arial"/>
        <family val="2"/>
      </rPr>
      <t xml:space="preserve"> Legal</t>
    </r>
    <r>
      <rPr>
        <b/>
        <i/>
        <sz val="8"/>
        <rFont val="Arial"/>
        <family val="2"/>
      </rPr>
      <t>: Loans in which the originator will take legal actions. This amount is included in the "&gt; 180 days" in arrears bucket.</t>
    </r>
  </si>
  <si>
    <t>RELIQUID.ENTREGAS P.NO H</t>
  </si>
  <si>
    <t>AMORTIZAC.VENC. R PTOS.NH</t>
  </si>
  <si>
    <t>AMORT.LIQ.R.PTOS.NO HIPOT</t>
  </si>
  <si>
    <t>AMORT.TRASPAS.M-R PTOS.NH</t>
  </si>
  <si>
    <t>AMORTIZ.COBRADAS PTOS.NH</t>
  </si>
  <si>
    <t>AMORT.RELIQ.CANC.R.P.NO H</t>
  </si>
  <si>
    <t>AMORT.REL.CANC.M PTOS NH</t>
  </si>
  <si>
    <t>AMORT.VENCIDAS M PTOS NH</t>
  </si>
  <si>
    <t>AMORT.LIQ.M.PTOS.NO HIPOT</t>
  </si>
  <si>
    <t>TRASP.AMORT.M-R PTOS.NH</t>
  </si>
  <si>
    <t>COBRO AMORT.M.PTO.NO HIPO</t>
  </si>
  <si>
    <t>AMORT.RDAS.REL.M.PTOS.NH</t>
  </si>
  <si>
    <t>AMORT.RDAS CANC.M.PTOS.NH</t>
  </si>
  <si>
    <t>CUOTAS VENCIDAS R PTOS.NH</t>
  </si>
  <si>
    <t>CUOT.LIQUID. R PTOS.NO H</t>
  </si>
  <si>
    <t>C.TRAS.M-R PTOS.NO HIPOTE</t>
  </si>
  <si>
    <t>COBRO CUOTAS R PTOS.NO H</t>
  </si>
  <si>
    <t>CUOT.RDAS CANC.R.PTOS.NH</t>
  </si>
  <si>
    <t>CUOT.RDAS.REL.R.P.NO HIPO</t>
  </si>
  <si>
    <t>CUOTAS VENCIDAS M PTOS.NH</t>
  </si>
  <si>
    <t>CUOT.LIQ.M PTOS.NO HIPOTE</t>
  </si>
  <si>
    <t>C.TRASP.M-R PTOS.NO HIPOT</t>
  </si>
  <si>
    <t>COBRO CUOTAS M PTOS.NO H</t>
  </si>
  <si>
    <t>CUOT.RDAS.CANC.M.P.NO HIP</t>
  </si>
  <si>
    <t>CUOTAS RDAS.REL.M.PTOS.NH</t>
  </si>
  <si>
    <t>INTER.VENC.M.PTOS.NO HIPO</t>
  </si>
  <si>
    <t>INT.LIQ.M.PTOS.NO HIPOTEC</t>
  </si>
  <si>
    <t>INT.COBRADOS M.PTOS.NO H</t>
  </si>
  <si>
    <t>DC ACTUALES 10/09: SUMA DE 300+305+4261</t>
  </si>
  <si>
    <t>INT.TRASP.M-R PTOS.NO HIP</t>
  </si>
  <si>
    <t>INT.RETRO.CANC.PTOS.NO H</t>
  </si>
  <si>
    <t>INT.RET.RELIQ.PTOS.NO HIP</t>
  </si>
  <si>
    <t>. 426</t>
  </si>
  <si>
    <t>RECLAS.PRESTAMOS DUDOSOS</t>
  </si>
  <si>
    <t>. 4261</t>
  </si>
  <si>
    <t>N  426</t>
  </si>
  <si>
    <t>. 441</t>
  </si>
  <si>
    <t>ADJUDICADOS</t>
  </si>
  <si>
    <t>. 4411</t>
  </si>
  <si>
    <t>N  441</t>
  </si>
  <si>
    <t>. 470</t>
  </si>
  <si>
    <t>INT.DEVENG.NO COBRADOS</t>
  </si>
  <si>
    <t>. 4703</t>
  </si>
  <si>
    <t>SWAPS</t>
  </si>
  <si>
    <t>INT.DEVENG.NO VENCIDO DCS</t>
  </si>
  <si>
    <t>INTERESES DEVENGADOS DCS</t>
  </si>
  <si>
    <t>LIQUIDADOS DCS</t>
  </si>
  <si>
    <t>INTER.DEV.N.VENC.PTOS NH</t>
  </si>
  <si>
    <t>INTERESES DEVENGADOS P.NH</t>
  </si>
  <si>
    <t>INT.LIQUIDADOS R.PTOS.NH</t>
  </si>
  <si>
    <t>AJUSTES PTOS.NO HIPOTECAR</t>
  </si>
  <si>
    <t>B.T.H SERIE D</t>
  </si>
  <si>
    <t>. 5403</t>
  </si>
  <si>
    <t>COMISION FIJA ADMON SCH</t>
  </si>
  <si>
    <t>PAGO SWAP</t>
  </si>
  <si>
    <t>COBRO SWAP</t>
  </si>
  <si>
    <t>COMISIÓN VARIABLE/INT.EXTR.SERIE F</t>
  </si>
  <si>
    <t>PAGO GASTOS ORDINARIOS</t>
  </si>
  <si>
    <t>PAGO DE COMISION DE GESTION</t>
  </si>
  <si>
    <t>INTERESES B.T.A.  SERIE A1</t>
  </si>
  <si>
    <t>INTERESES B.T.A. SERIE A2</t>
  </si>
  <si>
    <t>INTERESES B.T.A. SERIE B</t>
  </si>
  <si>
    <t>INTERESES B.T.A. SERIE C</t>
  </si>
  <si>
    <t>INTERESES B.T.A. SERIE D</t>
  </si>
  <si>
    <t>AMORTIZACION BONOS SERIE A1</t>
  </si>
  <si>
    <t>AMORTIZACION BONOS A2</t>
  </si>
  <si>
    <t>AMORTIZACION  BONOS B</t>
  </si>
  <si>
    <t>AMORTIZACION BONOS C</t>
  </si>
  <si>
    <t>AMORTIZACION  BONOS D</t>
  </si>
  <si>
    <t>INTERESES POSTERGADOS B</t>
  </si>
  <si>
    <t>INTERESES POSTERGADOS C</t>
  </si>
  <si>
    <t>12.03.2010</t>
  </si>
  <si>
    <t>INTERESES POSTERGADOS D</t>
  </si>
  <si>
    <t>PAGO LIQUIDATIVO DEL SWAP</t>
  </si>
  <si>
    <t>AMORTIZACION PTO SUB. F.R.</t>
  </si>
  <si>
    <t>INTERESES PTO. SUB. F.R.</t>
  </si>
  <si>
    <t>PAGO COMISION DE ADMINISTRACION</t>
  </si>
  <si>
    <t>INT PTO. SUBORDINADO GASTOS CONST Y EMISION</t>
  </si>
  <si>
    <t>AMORT PTO. SUBORDINADO GASTOS CONST Y EMISION</t>
  </si>
  <si>
    <t>DISPOSICIÓN FONDO DE RESERVA</t>
  </si>
  <si>
    <t>S.C.H. TITULIZACION</t>
  </si>
  <si>
    <t>CTA TESORERIA</t>
  </si>
  <si>
    <t>. 5702</t>
  </si>
  <si>
    <t>CUENTA DE PRINCIPAL</t>
  </si>
  <si>
    <t>. 6003</t>
  </si>
  <si>
    <t>SWAP FINANCIACION</t>
  </si>
  <si>
    <t>COMISION FIJA ADMON</t>
  </si>
  <si>
    <t>. 700141</t>
  </si>
  <si>
    <t>INT.TRASPASADOS R-&gt;M</t>
  </si>
  <si>
    <t>. 7003</t>
  </si>
  <si>
    <t>AJUSTE DIFERENCIA PROCESO</t>
  </si>
  <si>
    <t>. 70031</t>
  </si>
  <si>
    <t>. 70032</t>
  </si>
  <si>
    <t>INTERESES DEMORA "M"</t>
  </si>
  <si>
    <t>PTMOS.CONTENCIOSOS</t>
  </si>
  <si>
    <t>INT.COBRADOS M PTOS.NO H</t>
  </si>
  <si>
    <t>INT.DEMORA PTOS.NO HIPOTE</t>
  </si>
  <si>
    <t>INT.TRASP.M-R.PTOS.NO HIP</t>
  </si>
  <si>
    <t>INT.RDOS CANC.PTOS.NO HIP</t>
  </si>
  <si>
    <t>INT.RDOS RELIQ.PTOS.NO H</t>
  </si>
  <si>
    <t>INT.RELIQ.R.COBR.PTOS NH</t>
  </si>
  <si>
    <t>INT.RELIQ.M.COB.PTOS NO H</t>
  </si>
  <si>
    <t>. 70070</t>
  </si>
  <si>
    <t>. 70034</t>
  </si>
  <si>
    <t>sobrante adjudicado</t>
  </si>
  <si>
    <t>INTERESES CONTENCIOSOS</t>
  </si>
  <si>
    <t>PRÉSTAMOS. PRINCIPAL</t>
  </si>
  <si>
    <t>PRÉSTAMOS. INTERESES</t>
  </si>
  <si>
    <t>PRÉSTAMOS EN MOROSIDAD</t>
  </si>
  <si>
    <t>Saldo actual Préstamos Hipot.</t>
  </si>
  <si>
    <t>Mortgage Outstanding Balance</t>
  </si>
  <si>
    <t>DE CUENTA DE REINV.PTO.NH</t>
  </si>
  <si>
    <t>REINVERSION R PTOS NO HIP</t>
  </si>
  <si>
    <t>EMP BAN 1 FTA</t>
  </si>
  <si>
    <t>Amortización</t>
  </si>
  <si>
    <t>por bono</t>
  </si>
  <si>
    <t>Series Subordinadas</t>
  </si>
  <si>
    <t>2. NO SE DEBE DAR NI 2.a), 2.b) NI 2.c)</t>
  </si>
  <si>
    <t xml:space="preserve">          2.a) F.R. EN FECHA PAGO ANTERIOR NO DOTADO INTEGRAMENTE</t>
  </si>
  <si>
    <t xml:space="preserve">          2.b) SALDO VIVO DC´s MOROSOS &gt;1,50% DC´s NO FALLIDOS</t>
  </si>
  <si>
    <t xml:space="preserve">          2.a) SALDO SERIE B ≥ 7,00% SALDO SERIES A1, A2, B, C y D</t>
  </si>
  <si>
    <t xml:space="preserve">          2.b) DC´s MOROSOS &lt; 1,25% DC´s NO FALLIDOS</t>
  </si>
  <si>
    <t xml:space="preserve">          3.a) SALDO SERIE C ≥ 3,50% SALDO SERIES A1, A2, B, C y D</t>
  </si>
  <si>
    <t>FECHA DE PAGO anterior</t>
  </si>
  <si>
    <t xml:space="preserve">    INFORMACION TRIMESTRAL/NUEVO TIPO DE INTERES</t>
  </si>
  <si>
    <t>FECHA DE FIJACIÓN TIPO</t>
  </si>
  <si>
    <t xml:space="preserve">En cumplimiento de lo previsto en el Folleto Informativo de la citada emisión, verificada por la Comisión Nacional del Mercado de Valores el día 3 de mayo de 2007, </t>
  </si>
  <si>
    <t>y formalizada mediante escritura pública otorgada dicho día, se pone en conocimiento de los tenedores de los Bonos de la misma, la siguiente informacion:</t>
  </si>
  <si>
    <t>ISIN ES0330866007</t>
  </si>
  <si>
    <t>ISIN ES0330866015</t>
  </si>
  <si>
    <t>ISIN ES0330866023</t>
  </si>
  <si>
    <t>ISIN ES0330866031</t>
  </si>
  <si>
    <t>ISIN ES0330866049</t>
  </si>
  <si>
    <t>* Intereses Brutos:</t>
  </si>
  <si>
    <t>* Retención Fiscal (18%):</t>
  </si>
  <si>
    <t>* Intereses Netos:</t>
  </si>
  <si>
    <t>próxima):</t>
  </si>
  <si>
    <t>3. Tasa de prepago real de los Préstamos subyacentes</t>
  </si>
  <si>
    <t>retención  amort Bonos</t>
  </si>
  <si>
    <t>a los Derechos de Crédito a la fecha de determinación:</t>
  </si>
  <si>
    <t xml:space="preserve">4. Vida residual media de los Bonos, calculada con la hipótesis </t>
  </si>
  <si>
    <t>de mantenimiento de dicha tasa real (3º punto anterior) y de</t>
  </si>
  <si>
    <t>amortización anticipada (cuando quede pendiente de amortizar</t>
  </si>
  <si>
    <t>menos del 10% de saldo inicial de la cartera de Derechos de</t>
  </si>
  <si>
    <t>Crédito):</t>
  </si>
  <si>
    <t>5. Saldo Pendiente de Pago por Bono después de la amortización</t>
  </si>
  <si>
    <t>mencionada en el 2º punto anterior:</t>
  </si>
  <si>
    <t>6. Porcentaje que el Saldo Pendiente de Pago (5º punto anterior)</t>
  </si>
  <si>
    <t>representan sobre el importe nominal inicial de los Bonos de cada</t>
  </si>
  <si>
    <t>Serie (100.000.- €):</t>
  </si>
  <si>
    <t>7. Principal Devengado por Bono en concepto de amortización</t>
  </si>
  <si>
    <t>y no satisfecho por insuficiencia de Fondos de acuerdo con el</t>
  </si>
  <si>
    <t>----</t>
  </si>
  <si>
    <t>orden de prelación de pagos:</t>
  </si>
  <si>
    <t>8. El tipo de interés aplicable a los Bonos, según los criterios conte-</t>
  </si>
  <si>
    <t>nidos  en el mencionado  Folleto  Informativo, durante el siguiente</t>
  </si>
  <si>
    <t>Periodo de Devengo de Interés, que será el comprendido entre el</t>
  </si>
  <si>
    <t>G-85231009</t>
  </si>
  <si>
    <t>www.bancosantander.es</t>
  </si>
  <si>
    <t>El Director General</t>
  </si>
  <si>
    <t>Santander de Titulización,</t>
  </si>
  <si>
    <t>S.G.F.T., .S.A.</t>
  </si>
  <si>
    <t>COMUNICACIÓN DE OPERACIONES FINANCIERAS</t>
  </si>
  <si>
    <t xml:space="preserve">CÓDIGO ENTIDAD PAGADORA </t>
  </si>
  <si>
    <t>0049</t>
  </si>
  <si>
    <t>CÓDIGO ISIN</t>
  </si>
  <si>
    <t>FECHA DE PAGO</t>
  </si>
  <si>
    <t>TIPO DE INTERÉS</t>
  </si>
  <si>
    <t>IMPORTE UNITARIO BRUTO CUPÓN</t>
  </si>
  <si>
    <t>IMPORTE UNITARIO NETO CUPÓN</t>
  </si>
  <si>
    <t>IMPORTE UNIT.AMORT.REDUCCIÓN</t>
  </si>
  <si>
    <t>IMPORTE UNIT.AMORT.FINAL</t>
  </si>
  <si>
    <t>OBSERVACIONES</t>
  </si>
  <si>
    <t xml:space="preserve">          3.b) DC´s MOROSOS &lt; 1,00% DC´s NO FALLIDOS</t>
  </si>
  <si>
    <t>4. LA SERIE D SE AMORTIZA SI:</t>
  </si>
  <si>
    <t xml:space="preserve">          4.b) DC´s MOROSOS &lt; 0,75% DC´s NO FALLIDOS</t>
  </si>
  <si>
    <t>5. PARA AMORTIZAR A PRORRATA LAS SERIES A1, A2, B,C  y/o D</t>
  </si>
  <si>
    <t xml:space="preserve">          5.b) SALDO VIVO DC´s &lt;10% SALDO INICIAL ACTIVOS</t>
  </si>
  <si>
    <t>4  Intereses Bonos Serie A1 y A2</t>
  </si>
  <si>
    <t>5  Intereses Bonos Serie B</t>
  </si>
  <si>
    <t>6  Intereses Bonos Serie C</t>
  </si>
  <si>
    <t>factores FR</t>
  </si>
  <si>
    <t>TRIGGERS INTERESES</t>
  </si>
  <si>
    <t>Saldo de Principal pendiente de las Series C y D</t>
  </si>
  <si>
    <t>DIFERIMIENTO CLASE B</t>
  </si>
  <si>
    <t>el 75% del Saldo de Principal Pendiente de la Serie B</t>
  </si>
  <si>
    <t>y además, no se hubiera producido la completa amortización Bonos de las Series A1 y A2</t>
  </si>
  <si>
    <t>(i)   Déficit de Principales:</t>
  </si>
  <si>
    <t xml:space="preserve">(ii)   </t>
  </si>
  <si>
    <t xml:space="preserve">(iii)   </t>
  </si>
  <si>
    <t>DIFERIMIENTO CLASE C</t>
  </si>
  <si>
    <t>el 75% del Saldo de Principal Pendiente de la Serie C</t>
  </si>
  <si>
    <t>Saldo de Principal pendiente de las Series D</t>
  </si>
  <si>
    <t>DIFERIMIENTO CLASE D</t>
  </si>
  <si>
    <t>el 75% del Saldo de Principal Pendiente de la Serie D</t>
  </si>
  <si>
    <t>y además, no se hubiera producido la completa amortización Bonos de las Series A1,A2 y B</t>
  </si>
  <si>
    <t>y además, no se hubiera producido la completa amortización Bonos de las Series A1,A2,B y C</t>
  </si>
  <si>
    <t>7  Intereses Bonos Serie D</t>
  </si>
  <si>
    <t>8  Retención Amortización</t>
  </si>
  <si>
    <t>9  Ppal e Int. Prést. Subordinado (F.R.)</t>
  </si>
  <si>
    <t>11  Comisión admón. BANESTO</t>
  </si>
  <si>
    <t>12  Margen intermediación</t>
  </si>
  <si>
    <t>13 Disposición Fondo Reserva</t>
  </si>
  <si>
    <t>4  Interest Payment Series A1 and A2</t>
  </si>
  <si>
    <t>5  Interest Payment Series B</t>
  </si>
  <si>
    <t>6  Interest Payment Series C</t>
  </si>
  <si>
    <t>7  Interest Payment Series D</t>
  </si>
  <si>
    <t>8  Principal Withholding</t>
  </si>
  <si>
    <t>9  Ppal and Interest Sub. Loan (R.F.)</t>
  </si>
  <si>
    <t>10  Ppal and Interest Sub. Loan (Const.)</t>
  </si>
  <si>
    <t>11  Management Fee (BANESTO)</t>
  </si>
  <si>
    <t>12  Intermediation Margin</t>
  </si>
  <si>
    <t>13 Cash Reserve disposal</t>
  </si>
  <si>
    <t xml:space="preserve">          5.a) F.R. DISPONIBLE &lt; F.R. REQUERIDO</t>
  </si>
  <si>
    <t xml:space="preserve">   F.R. SERÁ EL MENOR DE:</t>
  </si>
  <si>
    <t xml:space="preserve">          1.a) IMPORTE RESERVA INICIAL</t>
  </si>
  <si>
    <t xml:space="preserve">          1.b) EL MAYOR DE:</t>
  </si>
  <si>
    <t xml:space="preserve">             1.b.1) 3,80% SALDO VIVO BONOS</t>
  </si>
  <si>
    <t xml:space="preserve">             1.b.2) 1,00% SALDO INICAL BONOS</t>
  </si>
  <si>
    <t>1. IMPORTE DOTACIÓN: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</si>
  <si>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</si>
  <si>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</si>
  <si>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</si>
  <si>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</si>
  <si>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</si>
  <si>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</si>
  <si>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</si>
  <si>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</si>
  <si>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</si>
  <si>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</si>
  <si>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</si>
  <si>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</si>
  <si>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</si>
  <si>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</si>
  <si>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</si>
  <si>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</si>
  <si>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</si>
  <si>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</si>
  <si>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</si>
  <si>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</si>
  <si>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</si>
  <si>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</si>
  <si>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</si>
  <si>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&gt; 180 DAYS </t>
    </r>
    <r>
      <rPr>
        <b/>
        <vertAlign val="superscript"/>
        <sz val="10"/>
        <rFont val="Arial"/>
        <family val="2"/>
      </rPr>
      <t>2</t>
    </r>
  </si>
  <si>
    <t>December</t>
  </si>
  <si>
    <t>st</t>
  </si>
  <si>
    <t>th</t>
  </si>
  <si>
    <t>scd</t>
  </si>
  <si>
    <t>Previous Balance</t>
  </si>
  <si>
    <t>Principal Amortised</t>
  </si>
  <si>
    <t>Outstanding Balance</t>
  </si>
  <si>
    <t>% of Initial Balance</t>
  </si>
  <si>
    <t>Principal Accrued not paid</t>
  </si>
  <si>
    <t>BONDS, PRINCIPAL</t>
  </si>
  <si>
    <t>DATA</t>
  </si>
  <si>
    <t>Determination Date</t>
  </si>
  <si>
    <t>Payment Date</t>
  </si>
  <si>
    <t>Last Payment Date</t>
  </si>
  <si>
    <t>3 Months Euribor(%)</t>
  </si>
  <si>
    <t>Next Payment Date</t>
  </si>
  <si>
    <t>QUARTERLY BONDS PAYOUT REPORT</t>
  </si>
  <si>
    <t>RESIDUAL LIFE  (YEARS)</t>
  </si>
  <si>
    <t>initial date</t>
  </si>
  <si>
    <t>actual date</t>
  </si>
  <si>
    <t>Series A1</t>
  </si>
  <si>
    <t>Series A2</t>
  </si>
  <si>
    <t>Series B</t>
  </si>
  <si>
    <t>Series C</t>
  </si>
  <si>
    <t xml:space="preserve">2.-  Diferencia            </t>
  </si>
  <si>
    <t>PRÉSTAMOS ADJUDICADOS</t>
  </si>
  <si>
    <t>2.-  Difference in Actual Period</t>
  </si>
  <si>
    <t>Properties Awarded</t>
  </si>
  <si>
    <t>Ppal Outstanding</t>
  </si>
  <si>
    <t>Series D</t>
  </si>
  <si>
    <t>sin redondeo</t>
  </si>
  <si>
    <t>caja</t>
  </si>
  <si>
    <t>fondo de reserva</t>
  </si>
  <si>
    <t>☺</t>
  </si>
  <si>
    <t>amortiz</t>
  </si>
  <si>
    <t>liquidación c/c</t>
  </si>
  <si>
    <t>suma partidas</t>
  </si>
  <si>
    <t>diferencia</t>
  </si>
  <si>
    <t>ppal</t>
  </si>
  <si>
    <t>liq int c/c</t>
  </si>
  <si>
    <t>. 520</t>
  </si>
  <si>
    <t>. 5201</t>
  </si>
  <si>
    <t>. 5202</t>
  </si>
  <si>
    <t>. 5203</t>
  </si>
  <si>
    <t>AJUSTES DE RESERVAS</t>
  </si>
  <si>
    <t>N  520</t>
  </si>
  <si>
    <t>. 521</t>
  </si>
  <si>
    <t>INTERES.DEV.NO VENC.REINV</t>
  </si>
  <si>
    <t>. 5211</t>
  </si>
  <si>
    <t>INT.DEVENG.NO VENC.REINVE</t>
  </si>
  <si>
    <t>N  521</t>
  </si>
  <si>
    <t>. 525</t>
  </si>
  <si>
    <t>. 5251</t>
  </si>
  <si>
    <t>. 5252</t>
  </si>
  <si>
    <t>. 5253</t>
  </si>
  <si>
    <t>N  525</t>
  </si>
  <si>
    <t>. 540</t>
  </si>
  <si>
    <t>INT.DEVENGADOS NO PAGADOS</t>
  </si>
  <si>
    <t>. 5401</t>
  </si>
  <si>
    <t>. 54011</t>
  </si>
  <si>
    <t>. 54012</t>
  </si>
  <si>
    <t>. 54013</t>
  </si>
  <si>
    <t>. 54014</t>
  </si>
  <si>
    <t>. 54015</t>
  </si>
  <si>
    <t>. 5402</t>
  </si>
  <si>
    <t>PRESTAMO SUBORDINADO</t>
  </si>
  <si>
    <t>. 54021</t>
  </si>
  <si>
    <t>. 54022</t>
  </si>
  <si>
    <t>. 54031</t>
  </si>
  <si>
    <t>N  540</t>
  </si>
  <si>
    <t>. 550</t>
  </si>
  <si>
    <t>GASTOS CORRIENTES</t>
  </si>
  <si>
    <t>. 5501</t>
  </si>
  <si>
    <t>AUDITORIA</t>
  </si>
  <si>
    <t>. 5502</t>
  </si>
  <si>
    <t>PUBLICACIONES Y ANUNCIOS</t>
  </si>
  <si>
    <t>. 5503</t>
  </si>
  <si>
    <t>COMISION DE GESTION</t>
  </si>
  <si>
    <t>. 5504</t>
  </si>
  <si>
    <t>. 5505</t>
  </si>
  <si>
    <t>. 5506</t>
  </si>
  <si>
    <t>COMISION VAR.EXTR.MARG.FI</t>
  </si>
  <si>
    <t>. 5508</t>
  </si>
  <si>
    <t>N  550</t>
  </si>
  <si>
    <t>. 570</t>
  </si>
  <si>
    <t>TESORERIA</t>
  </si>
  <si>
    <t>. 5701</t>
  </si>
  <si>
    <t>N  570</t>
  </si>
  <si>
    <t>TOTAL GRUPOS 1 A 5</t>
  </si>
  <si>
    <t>. 600</t>
  </si>
  <si>
    <t>GASTOS FINANCIEROS</t>
  </si>
  <si>
    <t>. 6001</t>
  </si>
  <si>
    <t>. 60011</t>
  </si>
  <si>
    <t>. 60012</t>
  </si>
  <si>
    <t>. 60013</t>
  </si>
  <si>
    <t>. 60014</t>
  </si>
  <si>
    <t>. 60015</t>
  </si>
  <si>
    <t>. 6002</t>
  </si>
  <si>
    <t>. 60021</t>
  </si>
  <si>
    <t>. 60022</t>
  </si>
  <si>
    <t>. 60031</t>
  </si>
  <si>
    <t>SWAPS DEVENGADOS</t>
  </si>
  <si>
    <t>N  600</t>
  </si>
  <si>
    <t>. 610</t>
  </si>
  <si>
    <t>. 6101</t>
  </si>
  <si>
    <t>N  610</t>
  </si>
  <si>
    <t>. 668</t>
  </si>
  <si>
    <t>DIFERENCIAS NEG.CAMBIO</t>
  </si>
  <si>
    <t>. 6680</t>
  </si>
  <si>
    <t>DIFERENCIAS NEGAT.CAMBIO</t>
  </si>
  <si>
    <t>N  668</t>
  </si>
  <si>
    <t>. 670</t>
  </si>
  <si>
    <t>. 6701</t>
  </si>
  <si>
    <t>. 6702</t>
  </si>
  <si>
    <t>PUBLICACIONES ANUNCIOS</t>
  </si>
  <si>
    <t>. 6703</t>
  </si>
  <si>
    <t>OTROS GASTOS</t>
  </si>
  <si>
    <t>N  670</t>
  </si>
  <si>
    <t>. 690</t>
  </si>
  <si>
    <t>COMISIONES</t>
  </si>
  <si>
    <t>. 6901</t>
  </si>
  <si>
    <t>. 6902</t>
  </si>
  <si>
    <t>. 6903</t>
  </si>
  <si>
    <t>N  690</t>
  </si>
  <si>
    <t>. 700</t>
  </si>
  <si>
    <t>INGRESOS FINANCIEROS</t>
  </si>
  <si>
    <t>. 7001</t>
  </si>
  <si>
    <t>. 70011</t>
  </si>
  <si>
    <t>INTERESES DEVENGADOS "R"</t>
  </si>
  <si>
    <t>. 70012</t>
  </si>
  <si>
    <t>. 70013</t>
  </si>
  <si>
    <t>INTERESES DE DEMORA</t>
  </si>
  <si>
    <t>. 70014</t>
  </si>
  <si>
    <t>INTERESES TRASP."M" A RDO</t>
  </si>
  <si>
    <t>. 70015</t>
  </si>
  <si>
    <t>INTERESES RDOS.POR CANCEL</t>
  </si>
  <si>
    <t>. 70016</t>
  </si>
  <si>
    <t>INTER.RDOS POR RELIQUIDAC</t>
  </si>
  <si>
    <t>. 70017</t>
  </si>
  <si>
    <t>INT.RELIQUIDADOS "R" COBR</t>
  </si>
  <si>
    <t>. 70018</t>
  </si>
  <si>
    <t>INT.RELIQ."M" COBRADOS</t>
  </si>
  <si>
    <t>. 70019</t>
  </si>
  <si>
    <t>INTERESES CUOTAS 9000</t>
  </si>
  <si>
    <t>. 7002</t>
  </si>
  <si>
    <t>DE CUENTA DE REINVERSION</t>
  </si>
  <si>
    <t>. 70020</t>
  </si>
  <si>
    <t>AJUSTES POR RESERVAS</t>
  </si>
  <si>
    <t>. 70021</t>
  </si>
  <si>
    <t>. 70022</t>
  </si>
  <si>
    <t>REINVERSION "R"</t>
  </si>
  <si>
    <t>. 70030</t>
  </si>
  <si>
    <t>. 70033</t>
  </si>
  <si>
    <t>INTERESES DEMORA "R"</t>
  </si>
  <si>
    <t>. 7004</t>
  </si>
  <si>
    <t>DE CUENTAS CORRIENTES</t>
  </si>
  <si>
    <t>. 7005</t>
  </si>
  <si>
    <t>INGRESOS VARIOS</t>
  </si>
  <si>
    <t>. 7006</t>
  </si>
  <si>
    <t>. 70061</t>
  </si>
  <si>
    <t>. 70062</t>
  </si>
  <si>
    <t>. 70063</t>
  </si>
  <si>
    <t>. 70064</t>
  </si>
  <si>
    <t>. 70065</t>
  </si>
  <si>
    <t>interés nominal medio ponderado</t>
  </si>
  <si>
    <t>margen medio ponderado</t>
  </si>
  <si>
    <t>. 70066</t>
  </si>
  <si>
    <t>. 70067</t>
  </si>
  <si>
    <t>. 70068</t>
  </si>
  <si>
    <t>. 70071</t>
  </si>
  <si>
    <t>. 70072</t>
  </si>
  <si>
    <t>. 768</t>
  </si>
  <si>
    <t>DIFERENCIAS POS.CAMBIO</t>
  </si>
  <si>
    <t>. 7680</t>
  </si>
  <si>
    <t>DIFERENCIAS POSIT.CAMBIO</t>
  </si>
  <si>
    <t>N  768</t>
  </si>
  <si>
    <t>. 890</t>
  </si>
  <si>
    <t>PERDIDAS Y GANANCIAS</t>
  </si>
  <si>
    <t>. 89000</t>
  </si>
  <si>
    <t>RESULTADOS DEL EJERCICIO</t>
  </si>
  <si>
    <t>N  890</t>
  </si>
  <si>
    <t>TOTAL GRUPOS 6 A 9</t>
  </si>
  <si>
    <t>TOTAL GENERAL</t>
  </si>
  <si>
    <t>interés</t>
  </si>
  <si>
    <t>saldo vivo medio diario Préstamos</t>
  </si>
  <si>
    <t>base de cálculo</t>
  </si>
  <si>
    <t>Mínimo</t>
  </si>
  <si>
    <t>Máximo</t>
  </si>
  <si>
    <t>Brutos</t>
  </si>
  <si>
    <t>Principal</t>
  </si>
  <si>
    <t>Series</t>
  </si>
  <si>
    <t>#Bonos</t>
  </si>
  <si>
    <t>margen</t>
  </si>
  <si>
    <t>Retención</t>
  </si>
  <si>
    <t>Netos</t>
  </si>
  <si>
    <t>Fecha de Determinación correspondiente a esa Fecha de Pago.</t>
  </si>
  <si>
    <r>
      <t>B</t>
    </r>
    <r>
      <rPr>
        <sz val="12"/>
        <rFont val="Arial"/>
        <family val="2"/>
      </rPr>
      <t xml:space="preserve"> = Suma de Saldos Pendientes de Pago de los Bonos de todas las Series, en la</t>
    </r>
  </si>
  <si>
    <t>Cantidad a pagar por Empresas Banesto 1 FTA</t>
  </si>
  <si>
    <r>
      <t>d</t>
    </r>
    <r>
      <rPr>
        <sz val="12"/>
        <rFont val="Arial"/>
        <family val="2"/>
      </rPr>
      <t xml:space="preserve"> = Número de días transcurridos durante cada Periodo de Devengo de Interés.</t>
    </r>
  </si>
  <si>
    <t>Comisión SdT = B x 0,020% x d /365</t>
  </si>
  <si>
    <t>B =</t>
  </si>
  <si>
    <t>No se podrá reducir el Nivel Requerido del Fondo de Reserva si concurre alguna de las</t>
  </si>
  <si>
    <t>siguientes circunstancias:</t>
  </si>
  <si>
    <t>• si el Fondo de Reserva ha sido utilizado en la Fecha de Pago actual y, como consecuencia</t>
  </si>
  <si>
    <t>de ello, se encuentre en un nivel distinto del Nivel Requerido;</t>
  </si>
  <si>
    <t>Prorrata Clase A</t>
  </si>
  <si>
    <t>i) que el saldo de Principal Pendiente de la Serie B sea igual o mayor al</t>
  </si>
  <si>
    <t>ii) que el Saldo Vivo de los Préstamos Hipotecarios Morosos sea inferior al</t>
  </si>
  <si>
    <t>1,25% de todos los Préstamos excluidos los Préstamos Fallidos.</t>
  </si>
  <si>
    <t>1,00% de todos los Préstamos excluidos los Préstamos Fallidos.</t>
  </si>
  <si>
    <t>0,75% de todos los Préstamos excluidos los Préstamos Fallidos.</t>
  </si>
  <si>
    <t>Ω</t>
  </si>
  <si>
    <t>saldo Ppal Pendiente</t>
  </si>
  <si>
    <t>de los Bonos</t>
  </si>
  <si>
    <t>a) La suma del Saldo de Principal Pendiente de Pago de los Bonos de las Series A1, A2,</t>
  </si>
  <si>
    <t>A3, B, C, D y E en la Fecha de Determinación previa a cada Fecha de Pago, y</t>
  </si>
  <si>
    <t>b) El Saldo Vivo de los Activos No Fallidos en la Fecha de Determinación precedente a la</t>
  </si>
  <si>
    <t>Fecha de Pago.</t>
  </si>
  <si>
    <r>
      <t xml:space="preserve">Por </t>
    </r>
    <r>
      <rPr>
        <b/>
        <i/>
        <sz val="12"/>
        <rFont val="SWISS"/>
        <family val="0"/>
      </rPr>
      <t>Cantidad Devengada para Amortización</t>
    </r>
    <r>
      <rPr>
        <sz val="12"/>
        <rFont val="SWISS"/>
        <family val="0"/>
      </rPr>
      <t xml:space="preserve"> se entenderá la diferencia (si fuese positiva) entre:</t>
    </r>
  </si>
  <si>
    <t>tipo int.</t>
  </si>
  <si>
    <t>aplicado</t>
  </si>
  <si>
    <t>% Serie</t>
  </si>
  <si>
    <t xml:space="preserve"> s/ Emisión</t>
  </si>
  <si>
    <t>importe</t>
  </si>
  <si>
    <t>amortizado</t>
  </si>
  <si>
    <t>FECHA DE PAGO:</t>
  </si>
  <si>
    <t>Gastos Ordinarios</t>
  </si>
  <si>
    <t>Intereses Bonos Serie A1</t>
  </si>
  <si>
    <t>Intereses Bonos Serie A2</t>
  </si>
  <si>
    <t>Intereses Bonos Serie B</t>
  </si>
  <si>
    <t>Intereses Bonos Serie C</t>
  </si>
  <si>
    <t>Intereses Bonos Serie D</t>
  </si>
  <si>
    <t>Retención Amortización</t>
  </si>
  <si>
    <t>Retención Fondo de Reserva</t>
  </si>
  <si>
    <t>Comisión admón. BANESTO</t>
  </si>
  <si>
    <t>Margen intermediación</t>
  </si>
  <si>
    <t>Comisión S.G.F.T.</t>
  </si>
  <si>
    <t>Ppal e Int. Prést. Subordinado (Gtos. Const.)</t>
  </si>
  <si>
    <t>Ppal e Int. Prést. Subordinado (F.R.)</t>
  </si>
  <si>
    <t>Tel.: +34 91 289 38 47</t>
  </si>
  <si>
    <t>fecha interés</t>
  </si>
  <si>
    <t>Fecha de pago</t>
  </si>
  <si>
    <t>Euribor trimestral</t>
  </si>
  <si>
    <t>Cuenta Tesorería Tipo (flat / 365)</t>
  </si>
  <si>
    <t>Ptmo.Sbdo.Tipo (+1,00% / 360)</t>
  </si>
  <si>
    <t>Ptmo.Fondo Res. (+1,00% / 360)</t>
  </si>
  <si>
    <t>write-off verdaderos</t>
  </si>
  <si>
    <t>Saldo Vivo Despues ajuste</t>
  </si>
  <si>
    <t>fallidos según balance</t>
  </si>
  <si>
    <t>fallidos correctos</t>
  </si>
  <si>
    <t>derechos de crédito AJUSTADOS</t>
  </si>
  <si>
    <t>Intereses BTA's Serie A1</t>
  </si>
  <si>
    <t>Intereses BTA's Serie A2</t>
  </si>
  <si>
    <t>Intereses BTA's Serie B</t>
  </si>
  <si>
    <t>Intereses BTA's Serie C</t>
  </si>
  <si>
    <t>Intereses BTA's Serie D</t>
  </si>
  <si>
    <t>AÑO 2008 …………………………………………………………………..</t>
  </si>
  <si>
    <t>1  Ordinary Expenses</t>
  </si>
  <si>
    <t>2  Management Fee SdT</t>
  </si>
  <si>
    <t>DC ACTUALES ANTANDER=&gt; SUMA DE 300+305+4551</t>
  </si>
  <si>
    <t>ASUNTO: SWAP EMPRESAS BANESTO 1 F.T.A.</t>
  </si>
  <si>
    <t>EMPRESAS BANESTO 1 F.T.A., el importe de la Liquidación del Swap, según el siguiente detalle:</t>
  </si>
  <si>
    <t>en Concepto de Liquidación Swap:</t>
  </si>
  <si>
    <t>Cantidad a ingresar por Banesto</t>
  </si>
  <si>
    <t>LOANS BALANCE IN ARREARS</t>
  </si>
  <si>
    <t>LOANS, PRINCIPAL</t>
  </si>
  <si>
    <t>LOANS, INTEREST</t>
  </si>
  <si>
    <t>CUMULATIVE INTEREST PAID</t>
  </si>
  <si>
    <t>pasado</t>
  </si>
  <si>
    <t>Bond Holders as of Previous Payment Date</t>
  </si>
  <si>
    <t>Cumulative interest paid to Bond to Bond Holders up to Date</t>
  </si>
  <si>
    <t>LOANS DEBT</t>
  </si>
  <si>
    <t>Interest accrued on CR's in Arrears</t>
  </si>
  <si>
    <t>current date</t>
  </si>
  <si>
    <t>b) RETENCIONES</t>
  </si>
  <si>
    <t>QUARTERLY SECURITISED ASSETS REPORT</t>
  </si>
  <si>
    <t>QUATERLY REPORT - ALLOCATION OF CASH</t>
  </si>
  <si>
    <r>
      <t xml:space="preserve">2 </t>
    </r>
    <r>
      <rPr>
        <b/>
        <i/>
        <sz val="8"/>
        <rFont val="Arial"/>
        <family val="2"/>
      </rPr>
      <t>Judicial: Préstamos sobre los que el cedente va a iniciar acciones judiciales. Esta cantidad está incluida en el cuadro de morosidad a más de 180 días</t>
    </r>
  </si>
  <si>
    <r>
      <t xml:space="preserve">LEGAL: </t>
    </r>
    <r>
      <rPr>
        <sz val="10"/>
        <rFont val="Arial"/>
        <family val="2"/>
      </rPr>
      <t>Loans in which the Originator will take legal actions. This amount is included in the bucket &gt; 180 days in arrears.</t>
    </r>
  </si>
  <si>
    <t>QUATERLY REPORT - CREDIT ENHANCEMENT AND SUBORDINATED LOAN</t>
  </si>
  <si>
    <t>1. LA SERIE A2 SE AMORTIZA</t>
  </si>
  <si>
    <t>SI</t>
  </si>
  <si>
    <t>SE HA ALCANZADO EL NIVEL DEL TRIGGER, POR TANTO LAS SERIES B, C y D NO SE AMORTIZARÁN</t>
  </si>
  <si>
    <t>QUATERLY REPORT - TRIGGERS OF THE MODEL</t>
  </si>
  <si>
    <t>INFORME TRIMESTRAL DEL ACTIVO TITULIZADO</t>
  </si>
  <si>
    <t>INFORME TRIMESTRAL DEL FLUJO DE CAJA</t>
  </si>
  <si>
    <t>INFORME TRIMESTRAL DE LA MEJORA DE CRÉDITO</t>
  </si>
  <si>
    <t>INFORME TRIMESTRAL DE LOS TRIGGERS DEL MODELO</t>
  </si>
  <si>
    <t>tramo inicial</t>
  </si>
  <si>
    <t>amort periodo</t>
  </si>
  <si>
    <r>
      <t xml:space="preserve">MÁS DE 180 DÍAS </t>
    </r>
    <r>
      <rPr>
        <b/>
        <vertAlign val="superscript"/>
        <sz val="10"/>
        <rFont val="Arial"/>
        <family val="2"/>
      </rPr>
      <t>2</t>
    </r>
  </si>
  <si>
    <t>PRÉSTAMOS FALLIDOS (mora más de 12 meses) NETOS DE RECUPERACIÓN</t>
  </si>
  <si>
    <t>WRITE-OFF (arrears over 12 months) NET OF RECOVERIES</t>
  </si>
  <si>
    <t xml:space="preserve">CUADRO DE VALORES DE TASACION SOBRE SALDOS VIVOS </t>
  </si>
  <si>
    <t>LISTADO ESTADÍSTICO DE VALORES DE TASACIÓN SOBRE SALDOS VIVOS</t>
  </si>
  <si>
    <t>Intervalo (%)</t>
  </si>
  <si>
    <t>SALDO VIVO (MILES)</t>
  </si>
  <si>
    <t>%</t>
  </si>
  <si>
    <t>Nº PRÉSTAMOS</t>
  </si>
  <si>
    <t>---</t>
  </si>
  <si>
    <t>. 0020</t>
  </si>
  <si>
    <t>anulacion de la provision</t>
  </si>
  <si>
    <t>N  002</t>
  </si>
  <si>
    <t>. 121</t>
  </si>
  <si>
    <t>correc.valor reper.perdid</t>
  </si>
  <si>
    <t>. 1211</t>
  </si>
  <si>
    <t>N  121</t>
  </si>
  <si>
    <t>. 450</t>
  </si>
  <si>
    <t>provision para insolvenci</t>
  </si>
  <si>
    <t>. 4501</t>
  </si>
  <si>
    <t>provision par.insolvencia</t>
  </si>
  <si>
    <t>N  450</t>
  </si>
  <si>
    <t>. 47033</t>
  </si>
  <si>
    <t>ajustes valoracion swaps</t>
  </si>
  <si>
    <t>. 54033</t>
  </si>
  <si>
    <t>. 541</t>
  </si>
  <si>
    <t>ajuste reperc-cober-flujo</t>
  </si>
  <si>
    <t>. 5411</t>
  </si>
  <si>
    <t>ajuste repercutidos swaps</t>
  </si>
  <si>
    <t>N  541</t>
  </si>
  <si>
    <t>. 691</t>
  </si>
  <si>
    <t>dotacion a las provisione</t>
  </si>
  <si>
    <t>. 6911</t>
  </si>
  <si>
    <t>dotacion a la prov.insolv</t>
  </si>
  <si>
    <t>N  691</t>
  </si>
  <si>
    <t>. 790</t>
  </si>
  <si>
    <t>repercusion de perdida</t>
  </si>
  <si>
    <t>. 7903</t>
  </si>
  <si>
    <t>repercusion de perdidas</t>
  </si>
  <si>
    <t>N  790</t>
  </si>
  <si>
    <t>. 7911</t>
  </si>
  <si>
    <t>exceso dotacion provision</t>
  </si>
  <si>
    <t>. 7912</t>
  </si>
  <si>
    <t>provisones apli.a su fina</t>
  </si>
  <si>
    <t>N  791</t>
  </si>
  <si>
    <t>periodo actual</t>
  </si>
  <si>
    <t>periodo total</t>
  </si>
  <si>
    <t>periodo transcurrido</t>
  </si>
  <si>
    <t>falta amortizar</t>
  </si>
  <si>
    <t>resto de préstamos</t>
  </si>
  <si>
    <t>Máximo:</t>
  </si>
  <si>
    <t>Mínimo:</t>
  </si>
  <si>
    <t>Medio:</t>
  </si>
  <si>
    <t>QUATERLY REPORT - LOAN TO VALUE RATIO</t>
  </si>
  <si>
    <t>LOAN TO VALUE STATISTICAL INFORMATION</t>
  </si>
  <si>
    <t>Interval (%)</t>
  </si>
  <si>
    <t>Outstanding Balance (Thousand)</t>
  </si>
  <si>
    <t>Nº loans</t>
  </si>
  <si>
    <t>rest of loans</t>
  </si>
  <si>
    <t>Maximum</t>
  </si>
  <si>
    <t>Minimum</t>
  </si>
  <si>
    <t>Average</t>
  </si>
  <si>
    <t>CARACTERÍSTICAS DEL ACTIVO</t>
  </si>
  <si>
    <t>CONCENTRACIÓN POR DEUDOR</t>
  </si>
  <si>
    <t>DEUDOR</t>
  </si>
  <si>
    <t xml:space="preserve">SALDO VIVO </t>
  </si>
  <si>
    <t>% SALDO VIVO</t>
  </si>
  <si>
    <t>QUARTERLY COLLATERAL REPORT</t>
  </si>
  <si>
    <t>CONCENTRATION PER OBLIGOR</t>
  </si>
  <si>
    <t>OBLIGOR</t>
  </si>
  <si>
    <t>OUTSTANDING BALANCE</t>
  </si>
  <si>
    <t>% OUTSTANDING BALANCE</t>
  </si>
  <si>
    <t>BONOS TITULIZACIÓN DE ACTIVOS. PRINCIPAL</t>
  </si>
  <si>
    <t>BONOS TITULIZACIÓN DE ACTIVOS. INTERESES</t>
  </si>
  <si>
    <t>Periodo devengo: Periodo Determinación Precedente a F.P.</t>
  </si>
  <si>
    <t>DC ANTERIOR FECHA DE DETERMINACIÓN</t>
  </si>
  <si>
    <t>ORDENAR  PARA ESTADÍSTICO</t>
  </si>
  <si>
    <t>PPAL AMORTIZADO EN ESTA FECHA DE PAGO</t>
  </si>
  <si>
    <t>Saldo Ppal Pte Bonos fecha determinación anterior</t>
  </si>
  <si>
    <t>los intereses del Préstamo Subordinado, cta: 197.018.172, según el siguiente detalle:</t>
  </si>
  <si>
    <t>ASUNTO: LIQUIDACIÓN DE INTERESES Y PRINCIPAL DEL PRÉSTAMO SUBORDINADO FONDO RESERVA</t>
  </si>
  <si>
    <t>en Concepto de Intereses:</t>
  </si>
  <si>
    <t>los intereses del Préstamo Subordinado, cta: 197.019.172, según el siguiente detalle:</t>
  </si>
  <si>
    <t>Rogamos adeuden en la cuenta corriente 0030  1640  12  0000520271 a nombre de EMPRESAS BANESTO 1,</t>
  </si>
  <si>
    <t xml:space="preserve">          2.c) PAYMENT DATE &gt; 05.10.2009</t>
  </si>
  <si>
    <t>SERIES                                           PRELACIÓN                              CÓDIGO ISIN</t>
  </si>
  <si>
    <t>DERECHOS DE CRÉDITO</t>
  </si>
  <si>
    <t>A LA EMISIÓN</t>
  </si>
  <si>
    <t>Mayor de 6 meses</t>
  </si>
  <si>
    <t>EMPRESAS BANESTO 1 FONDO DE TITULIZACIÓN DE ACTIVOS</t>
  </si>
  <si>
    <t>NAME OF THE FUND:</t>
  </si>
  <si>
    <t>INFORMATION AT:</t>
  </si>
  <si>
    <t>QUARTER/SEMESTER</t>
  </si>
  <si>
    <t>YEAR:</t>
  </si>
  <si>
    <t>snd</t>
  </si>
  <si>
    <t>I. DATA OF THE FUND</t>
  </si>
  <si>
    <t>Constitution Date</t>
  </si>
  <si>
    <t>Paying Agency</t>
  </si>
  <si>
    <t>Disbursment Date</t>
  </si>
  <si>
    <t>Negociation Market</t>
  </si>
  <si>
    <t>Final Date of Redemption</t>
  </si>
  <si>
    <t>Rating Agencies</t>
  </si>
  <si>
    <t>Gestora</t>
  </si>
  <si>
    <t>Rating</t>
  </si>
  <si>
    <t>Initial</t>
  </si>
  <si>
    <t>Current</t>
  </si>
  <si>
    <t>Credit Rights´s Seller</t>
  </si>
  <si>
    <t>II. SECURITIES ISSUED CHARGED TO THE FUND: SECURITISATION BONDS</t>
  </si>
  <si>
    <t>SERIES                                                    PRIORITY OF PAYMENT               (ISIN CODE)</t>
  </si>
  <si>
    <t>NUMBER OF BONDS</t>
  </si>
  <si>
    <t>NOMINAL</t>
  </si>
  <si>
    <t>INITIAL</t>
  </si>
  <si>
    <t>CURRENT</t>
  </si>
  <si>
    <t>%Curr/In</t>
  </si>
  <si>
    <t>Nominal per Bond</t>
  </si>
  <si>
    <t>Total Nominal</t>
  </si>
  <si>
    <t>REDEMPTION AND INTEREST OF THE BONDS</t>
  </si>
  <si>
    <t>Next</t>
  </si>
  <si>
    <t>Payment Date of the Current Period</t>
  </si>
  <si>
    <t>Redemption of the Bonds</t>
  </si>
  <si>
    <t>Gross Interest</t>
  </si>
  <si>
    <t>Interest Rate</t>
  </si>
  <si>
    <t>Gross Interest in Next Payment Date</t>
  </si>
  <si>
    <t>Net Interest in Next Payment Date</t>
  </si>
  <si>
    <t>Accrued amortisation due not payed</t>
  </si>
  <si>
    <t>Scheduled Amortisation</t>
  </si>
  <si>
    <t>III. ASSETS PURCHASED BY THE FUND: CREDIT RIGHTS</t>
  </si>
  <si>
    <t>CREDIT RIGHTS</t>
  </si>
  <si>
    <t>ISSUE DATE</t>
  </si>
  <si>
    <t>CURRENT DATE</t>
  </si>
  <si>
    <t>Number of CR´s</t>
  </si>
  <si>
    <t>Principal Outstanding</t>
  </si>
  <si>
    <t>Principal Outstanding per Loan</t>
  </si>
  <si>
    <t>PREPAYMENT RATE</t>
  </si>
  <si>
    <t>Monthly Single Rate</t>
  </si>
  <si>
    <t>Average 12 Moth Single Rate</t>
  </si>
  <si>
    <t>Prepayment Rate from Constitution</t>
  </si>
  <si>
    <t>CURRENT DELINQUENCY</t>
  </si>
  <si>
    <t>Up to 1 month</t>
  </si>
  <si>
    <t>From 1 to 6 months</t>
  </si>
  <si>
    <t>Greater than 6 months</t>
  </si>
  <si>
    <t>Debt Due (Principal + Interest)</t>
  </si>
  <si>
    <t>Debt to be amortised</t>
  </si>
  <si>
    <t>Total Debt</t>
  </si>
  <si>
    <t>Juan Manuel García Abarquero</t>
  </si>
  <si>
    <t>Analista</t>
  </si>
  <si>
    <t>Santander de Titulización, S.G.F.T.</t>
  </si>
  <si>
    <t>Ciudad Grupo Santander</t>
  </si>
  <si>
    <t>Ed. Encinar 28660 Boadilla del Monte (Madrid)</t>
  </si>
  <si>
    <t>jumgarcia@gruposantander.com</t>
  </si>
  <si>
    <t>DERECHOS DE CRÉDITO EN MOROSIDAD</t>
  </si>
  <si>
    <t>HASTA 30 DIAS</t>
  </si>
  <si>
    <t>DE 30 A 60 DIAS</t>
  </si>
  <si>
    <t>DE 60 A 90 DIAS</t>
  </si>
  <si>
    <t>DE 90 A 180 DIAS</t>
  </si>
  <si>
    <t>MÁS DE 180 DIAS</t>
  </si>
  <si>
    <t>PRINCIPAL</t>
  </si>
  <si>
    <t>INTERES</t>
  </si>
  <si>
    <t>SALDO DE LOS DERECHOS DE CRÉDITO</t>
  </si>
  <si>
    <t>NUMERO DE LOS DERECHOS DE CRÉDITO</t>
  </si>
  <si>
    <t>% SOBRE SALDO ACTUAL DERECHOS DE CRÉDITO</t>
  </si>
  <si>
    <t>∞ %</t>
  </si>
  <si>
    <t>&lt;16 días</t>
  </si>
  <si>
    <t>entre 16 y 30</t>
  </si>
  <si>
    <t>entre 31 y 60</t>
  </si>
  <si>
    <t>entre 61 y 90</t>
  </si>
  <si>
    <t>entre 91 y 180</t>
  </si>
  <si>
    <t>entre 181 y 365</t>
  </si>
  <si>
    <t>entre 366 y 547</t>
  </si>
  <si>
    <t>&gt; 547</t>
  </si>
  <si>
    <t>préstamos no hipotecarios (cuotas en morosidad)</t>
  </si>
  <si>
    <t>préstamos</t>
  </si>
  <si>
    <t>saldo</t>
  </si>
  <si>
    <t>int</t>
  </si>
  <si>
    <t>préstamos hipotecarios (cuotas dudosas)</t>
  </si>
  <si>
    <t>&lt;?xml version="1.0" encoding="UTF-8"?&gt;</t>
  </si>
  <si>
    <t>&lt;tiposinteres&gt;</t>
  </si>
  <si>
    <t>&lt;nominalesytasas&gt;</t>
  </si>
  <si>
    <t>&lt;tipo&gt;</t>
  </si>
  <si>
    <t>&lt;data&gt;</t>
  </si>
  <si>
    <t>&lt;/data&gt;</t>
  </si>
  <si>
    <t>&lt;/nominalesytasas&gt;</t>
  </si>
  <si>
    <t>&lt;isin&gt;ES0337985008&lt;/isin&gt;</t>
  </si>
  <si>
    <t>DC ACTUALES ANTANDER=&gt; SUMA DE 300+305+4551 (con ajuste fallidos)</t>
  </si>
  <si>
    <t>CANTIDAD DEVENGADA AMORTIZACIÓN (con ajuste)</t>
  </si>
  <si>
    <t>Euribor periodo</t>
  </si>
  <si>
    <t xml:space="preserve"> </t>
  </si>
  <si>
    <t>DENOMINACION DEL FONDO:</t>
  </si>
  <si>
    <t>TRIMESTRE/SEMESTRE</t>
  </si>
  <si>
    <t>AÑO:</t>
  </si>
  <si>
    <t>Firma:</t>
  </si>
  <si>
    <t>préstamos hipotecarios (cuotas contenciosas)</t>
  </si>
  <si>
    <t>préstamos no hipotecarios (cuotas contenciosas)</t>
  </si>
  <si>
    <t>1  Gastos Ordinarios</t>
  </si>
  <si>
    <t>2  Comisión S.G.F.T.</t>
  </si>
  <si>
    <t>3  SWAP</t>
  </si>
  <si>
    <t>I. DATOS GENERALES SOBRE EL FONDO</t>
  </si>
  <si>
    <t>Negociación Mercado</t>
  </si>
  <si>
    <t>AIAF</t>
  </si>
  <si>
    <t>Sociedad Gestora</t>
  </si>
  <si>
    <t>Inicial</t>
  </si>
  <si>
    <t>Actual</t>
  </si>
  <si>
    <t>Nominal Unitario</t>
  </si>
  <si>
    <t>Nominal Total</t>
  </si>
  <si>
    <t>Próximo</t>
  </si>
  <si>
    <t>Fecha Próximo Cupón</t>
  </si>
  <si>
    <t>Tipo de Interés</t>
  </si>
  <si>
    <t>Amortización Calendario</t>
  </si>
  <si>
    <t>Amortización Serie B</t>
  </si>
  <si>
    <t>SITUACION ACTUAL</t>
  </si>
  <si>
    <t>TASAS DE AMORTIZACION ANTICIPADA</t>
  </si>
  <si>
    <t>Tasa mensual actual anualizada:</t>
  </si>
  <si>
    <t>Tasa últimos 12 meses anualizada:</t>
  </si>
  <si>
    <t>MOROSIDAD ACTUAL</t>
  </si>
  <si>
    <t>Hasta 1 mes</t>
  </si>
  <si>
    <t>De 1 a 6 meses</t>
  </si>
  <si>
    <t>Deuda Total</t>
  </si>
  <si>
    <t>INFORMACION</t>
  </si>
  <si>
    <t>CORRESPONDIENTE AL:</t>
  </si>
  <si>
    <t xml:space="preserve">Personas que asumen la responsabilidad de esta información </t>
  </si>
  <si>
    <t>y cargos que ocupan:</t>
  </si>
  <si>
    <t>Ignacio Ortega Gavara-Director General</t>
  </si>
  <si>
    <t>Fecha de Constitución del</t>
  </si>
  <si>
    <t>Fondo</t>
  </si>
  <si>
    <t>Fecha Final Amortización</t>
  </si>
  <si>
    <t xml:space="preserve">Agencia de </t>
  </si>
  <si>
    <t>Calificación</t>
  </si>
  <si>
    <t>NOMINAL EN CIRCULACION</t>
  </si>
  <si>
    <t>INICIAL</t>
  </si>
  <si>
    <t>ACTUAL</t>
  </si>
  <si>
    <t>%Act/In</t>
  </si>
  <si>
    <t>SE HA ALCANZADO EL NIVEL DEL TRIGGER DEL PUNTO 2, POR TANTO EL FONDO DE RESERVA REQUERIDO</t>
  </si>
  <si>
    <t>SERÁ 38.000.000 € Y SU NIVEL NO DECRECERÁ.</t>
  </si>
  <si>
    <t>BEING THE REQUIRED LEVEL 38.000.000 €</t>
  </si>
  <si>
    <t>Amortizacion devengada</t>
  </si>
  <si>
    <t>no pagada</t>
  </si>
  <si>
    <t>Importe        Bruto</t>
  </si>
  <si>
    <t>Próximo Cupón</t>
  </si>
  <si>
    <t>Saldo Pendiente de Amortizar</t>
  </si>
  <si>
    <t>Tasa anualizada desde Constitución del Fondo</t>
  </si>
  <si>
    <t>Deuda Pendiente de vencimiento</t>
  </si>
  <si>
    <t>LIQUIDEZ DISPONIBLE</t>
  </si>
  <si>
    <t>F.DISPONIBLES PRINCIPALES</t>
  </si>
  <si>
    <t>Intereses PS</t>
  </si>
  <si>
    <t>retenciones</t>
  </si>
  <si>
    <t>Intereses PS (FR)</t>
  </si>
  <si>
    <t>0030  1640  12  0000520271</t>
  </si>
  <si>
    <t xml:space="preserve">Madrid, </t>
  </si>
  <si>
    <t>PARA:</t>
  </si>
  <si>
    <t>Att: OLGA ENCABO</t>
  </si>
  <si>
    <t>DE:</t>
  </si>
  <si>
    <t>IGNACIO ORTEGA GAVARA</t>
  </si>
  <si>
    <t>ASUNTO: LIQUIDACIÓN DE INTERESES Y PRINCIPAL DEL PRÉSTAMO SUBORDINADO GTOS</t>
  </si>
  <si>
    <t>Rogamos adeuden en la cuenta corriente 0030  1640  12  0000520271 a nombre de EMPRESAS BANESTO 1 F.T.A.,</t>
  </si>
  <si>
    <t>of arrears in due payments.</t>
  </si>
  <si>
    <t>superior a 180 días</t>
  </si>
  <si>
    <t>Total a cargar a la c.c.nº 520.271</t>
  </si>
  <si>
    <t>en Concepto de Intereses y principal:</t>
  </si>
  <si>
    <t>El importe total de intereses que corresponde a este período sería de</t>
  </si>
  <si>
    <t xml:space="preserve">En cuanto a la amortización del Préstamo Subordinado , se amortizarán </t>
  </si>
  <si>
    <t xml:space="preserve">quedando un importe pendiente de amortizar de </t>
  </si>
  <si>
    <t>Saludos,</t>
  </si>
  <si>
    <t>Muy Sres. nuestros:</t>
  </si>
  <si>
    <t xml:space="preserve">Rogamos realicen hoy mismo, el siguiente traspaso, en concepto de </t>
  </si>
  <si>
    <t>Gastos Ordinarios:</t>
  </si>
  <si>
    <t>MANDANTE:</t>
  </si>
  <si>
    <t>EMPRESAS BANESTO 1 F.T.A.</t>
  </si>
  <si>
    <t>. 4801</t>
  </si>
  <si>
    <t>DEUDA CEDENTE PDTE.ABONO</t>
  </si>
  <si>
    <t>N  480</t>
  </si>
  <si>
    <t>liquidación c/c del 15-09</t>
  </si>
  <si>
    <t>CTA. DE CARGO:</t>
  </si>
  <si>
    <t>SUC.:</t>
  </si>
  <si>
    <t>. 4281</t>
  </si>
  <si>
    <t>Datos AIAF</t>
  </si>
  <si>
    <t>&lt;vidamedia&gt;0.00&lt;/vidamedia&gt;</t>
  </si>
  <si>
    <t>write off contenciosos</t>
  </si>
  <si>
    <t>N  428</t>
  </si>
  <si>
    <t>. 4291</t>
  </si>
  <si>
    <t>write off vivo</t>
  </si>
  <si>
    <t>N  429</t>
  </si>
  <si>
    <t>. 6801</t>
  </si>
  <si>
    <t>REGULARIZAC. PROCESOS</t>
  </si>
  <si>
    <t>N  680</t>
  </si>
  <si>
    <t>BENEFICIARIO:</t>
  </si>
  <si>
    <t>SUC: 1640</t>
  </si>
  <si>
    <t>CTA. DE ABONO:</t>
  </si>
  <si>
    <t>0049  5138  12  2816565075</t>
  </si>
  <si>
    <t xml:space="preserve">Santander </t>
  </si>
  <si>
    <t>SUC.: 5138</t>
  </si>
  <si>
    <t>IMPORTE:</t>
  </si>
  <si>
    <t/>
  </si>
  <si>
    <t>FECHA VALOR:</t>
  </si>
  <si>
    <t>en Concepto de Comisión Fija:</t>
  </si>
  <si>
    <t>Comisión a favor de Santander de Titulización</t>
  </si>
  <si>
    <t>A.- ORIGEN:</t>
  </si>
  <si>
    <t>Saldo anterior a 01 de enero de 2007</t>
  </si>
  <si>
    <t xml:space="preserve">a)  Principal cobrado: </t>
  </si>
  <si>
    <t>REGULARIZACION</t>
  </si>
  <si>
    <t>. 0015</t>
  </si>
  <si>
    <t>fallidos</t>
  </si>
  <si>
    <t>. 12011</t>
  </si>
  <si>
    <t>AJ.PTO.SUB.REP.PERDIDAS</t>
  </si>
  <si>
    <t>. 12021</t>
  </si>
  <si>
    <t>. 13011</t>
  </si>
  <si>
    <t>AJUSTE SERIE A REP.PERDID</t>
  </si>
  <si>
    <t>. 13021</t>
  </si>
  <si>
    <t>AJUSTE SERIE B REP.PERDID</t>
  </si>
  <si>
    <t>. 13031</t>
  </si>
  <si>
    <t>AJUSTE SERIE C REP.PERDID</t>
  </si>
  <si>
    <t>. 13041</t>
  </si>
  <si>
    <t>AJUSTE SERIE D REP.PERDID</t>
  </si>
  <si>
    <t>. 13051</t>
  </si>
  <si>
    <t>AJUSTE SERIE E REP PERID</t>
  </si>
  <si>
    <t>. 4432</t>
  </si>
  <si>
    <t>PROVISIONES DE AGENTES</t>
  </si>
  <si>
    <t>. 44321</t>
  </si>
  <si>
    <t>privisiones judiciales</t>
  </si>
  <si>
    <t>. 4433</t>
  </si>
  <si>
    <t>consignaciones</t>
  </si>
  <si>
    <t>N  443</t>
  </si>
  <si>
    <t>. 540111</t>
  </si>
  <si>
    <t>AJUSTE INT.S A REP.PERDID</t>
  </si>
  <si>
    <t>. 540121</t>
  </si>
  <si>
    <t>. 540131</t>
  </si>
  <si>
    <t>AJUSTE SERIE C REP PERDID</t>
  </si>
  <si>
    <t>. 540141</t>
  </si>
  <si>
    <t>AJUSTE SERIE D REP PERDID</t>
  </si>
  <si>
    <t>. 540151</t>
  </si>
  <si>
    <t>AJUSTE SERIE E REP PERDID</t>
  </si>
  <si>
    <t>. 540211</t>
  </si>
  <si>
    <t>AJUSTE INT.P.SUB.REP PERD</t>
  </si>
  <si>
    <t>. 540221</t>
  </si>
  <si>
    <t>AJUSTE INT.P.SUB.REP.PERD</t>
  </si>
  <si>
    <t>. 55051</t>
  </si>
  <si>
    <t>AJUSTE COM.FIJA REPER.PER</t>
  </si>
  <si>
    <t>. 55061</t>
  </si>
  <si>
    <t>AJ.COM.VAR.PRO R.PERDIDAS</t>
  </si>
  <si>
    <t>. 68011</t>
  </si>
  <si>
    <t>REGULARIZACIÓN</t>
  </si>
  <si>
    <t>f.p. marzo 2010</t>
  </si>
  <si>
    <t>f.p. junio 2010</t>
  </si>
  <si>
    <t>datos a 14/06/2010</t>
  </si>
  <si>
    <t xml:space="preserve">   1. Amortización de dc´s:</t>
  </si>
  <si>
    <t>b)  Intereses cobrados:</t>
  </si>
  <si>
    <t xml:space="preserve">   1. Intereses de dc´s:</t>
  </si>
  <si>
    <t>c)       LIQUIDACIÓN de cuenta:</t>
  </si>
  <si>
    <t>d)       Préstamo Subordinado:</t>
  </si>
  <si>
    <t>B.-APLICACIÓN:</t>
  </si>
  <si>
    <t>1.       Gastos Corrientes:</t>
  </si>
  <si>
    <t>2.       Comisión S.G.F.T.</t>
  </si>
  <si>
    <t>3.       SWAP</t>
  </si>
  <si>
    <t>4.       Intereses BT’s serie A1:</t>
  </si>
  <si>
    <t>5.       Intereses BT’s serie A2:</t>
  </si>
  <si>
    <t>6.       Intereses BT’s serie B:</t>
  </si>
  <si>
    <t>7.       Intereses BT’s serie C:</t>
  </si>
  <si>
    <t>8.       Intereses BT’s serie D:</t>
  </si>
  <si>
    <t>9.       Amortización BT’s:</t>
  </si>
  <si>
    <t>10.     Ppal e Int Préstamo Subordinado (F.R.):</t>
  </si>
  <si>
    <t>11.     Ppal e Int Préstamo Subordinado (P.S.):</t>
  </si>
  <si>
    <t xml:space="preserve">              2.1.b) DC´s MOROSOS</t>
  </si>
  <si>
    <t xml:space="preserve">              2.2.b) 1,25% DC´s NO FALLIDOS</t>
  </si>
  <si>
    <t xml:space="preserve">              4.1.b) DC´s MOROSOS</t>
  </si>
  <si>
    <t xml:space="preserve">              4.2.b) 0,75% DC´s NO FALLIDOS</t>
  </si>
  <si>
    <t xml:space="preserve">              2.1.b) LOANS IN ARREARS</t>
  </si>
  <si>
    <t xml:space="preserve">              2.2.b) 1,25% LOANS WITHOUT WRITE-OFFS</t>
  </si>
  <si>
    <t xml:space="preserve">              3.1.b) LOANS IN ARREARS</t>
  </si>
  <si>
    <t xml:space="preserve">              3.2.b) 1,00% LOANS WITHOUT WRITE-OFFS</t>
  </si>
  <si>
    <t xml:space="preserve">              4.1.b) LOANS IN ARREARS</t>
  </si>
  <si>
    <t xml:space="preserve">              4.2.b) 0,75% LOANS WITHOUT WRITE-OFFS</t>
  </si>
  <si>
    <t>12.     Comisiones a favor de Banesto:</t>
  </si>
  <si>
    <t>13.     Margen Financiero:</t>
  </si>
  <si>
    <t>14.     Remanente en Tesorería</t>
  </si>
  <si>
    <t>C.- ESTADO DE LA CUENTA DE TESORERÍA:</t>
  </si>
  <si>
    <t xml:space="preserve">      a)  En concepto de Fondo de Reserva Principal:</t>
  </si>
  <si>
    <t xml:space="preserve">            1. Saldo inicial:</t>
  </si>
  <si>
    <t xml:space="preserve">            2. Retención del periodo:</t>
  </si>
  <si>
    <t xml:space="preserve">            3. Saldo actual:</t>
  </si>
  <si>
    <t xml:space="preserve">     b) Remanente en tesoreria:</t>
  </si>
  <si>
    <t xml:space="preserve">     c) RETENCION IRS:</t>
  </si>
  <si>
    <t xml:space="preserve">     d) GASTOS DE EMISIÓN RETENIDOS:</t>
  </si>
  <si>
    <t xml:space="preserve">     e) Préstamo Subordinado:</t>
  </si>
  <si>
    <t>Fecha de fijación</t>
  </si>
  <si>
    <t>TOTAL (a + b  + c + d + e)</t>
  </si>
  <si>
    <t>dato 5701 a 31.12.2007</t>
  </si>
  <si>
    <t>INFORME HISTÓRICO DE MOROSIDAD</t>
  </si>
  <si>
    <t>Fecha</t>
  </si>
  <si>
    <t>15-30 días</t>
  </si>
  <si>
    <t>30-60 días</t>
  </si>
  <si>
    <t>60-90 días</t>
  </si>
  <si>
    <t>90-180 días</t>
  </si>
  <si>
    <t>&gt; 180 días</t>
  </si>
  <si>
    <t>HISTORICAL ARREARS REPORTS</t>
  </si>
  <si>
    <t>Date</t>
  </si>
  <si>
    <t>15-30 days</t>
  </si>
  <si>
    <t>30-60 days</t>
  </si>
  <si>
    <t>60-90 days</t>
  </si>
  <si>
    <t>90-180 days</t>
  </si>
  <si>
    <t>&gt; 180 days</t>
  </si>
  <si>
    <t>10  Ppal/Int. Prést. Sub. (Gtos. Const.)</t>
  </si>
  <si>
    <t xml:space="preserve">     Intereses desembolso</t>
  </si>
  <si>
    <t>JUDICIALES</t>
  </si>
  <si>
    <t>c) INTERESES COBRADOS</t>
  </si>
  <si>
    <t>d) REGULAR. PROCESOS</t>
  </si>
  <si>
    <t>b) D.C. JUDICIALES</t>
  </si>
  <si>
    <t>b) C.D. JUDICIALS</t>
  </si>
  <si>
    <t>restamos el w-o correcto</t>
  </si>
  <si>
    <t>sumamos judiciales (están incl)</t>
  </si>
  <si>
    <t xml:space="preserve">     Interest from disbursment</t>
  </si>
  <si>
    <t>c) INTEREST DUE</t>
  </si>
  <si>
    <t>d) REG. PROCESS</t>
  </si>
  <si>
    <t>Int. devengados no pagados</t>
  </si>
  <si>
    <t xml:space="preserve">               3.b.2) 1,00% DC´s NO FALLIDOS</t>
  </si>
  <si>
    <t xml:space="preserve">               3.b.1) DC´s MOROSOS</t>
  </si>
  <si>
    <t>TRIGGERS HAVE BEEN BREACHED, SO NEITHER SERIES A2, B, C and D WILL AMORTISED</t>
  </si>
  <si>
    <t>PERIODOS</t>
  </si>
  <si>
    <t>BONOS SERIE A2</t>
  </si>
  <si>
    <t>Interés nominal</t>
  </si>
  <si>
    <t>TAE</t>
  </si>
  <si>
    <t>BONOS SERIE D</t>
  </si>
  <si>
    <t>ASUNTO: COMISIÓN VARIABLE EMPRESAS BANESTO 1 F.T.A.</t>
  </si>
  <si>
    <t xml:space="preserve">Rogamos adeuden en la cuenta corriente 0030  1640  12  0000520271 a nombre de </t>
  </si>
  <si>
    <t>EMPRESAS BANESTO 1 F.T.A., el importe de la Comisión Variable, según el siguiente detalle:</t>
  </si>
  <si>
    <t>en Concepto de Comisión variable:</t>
  </si>
  <si>
    <t>Ignacio Ortega Gavara</t>
  </si>
  <si>
    <t>ASUNTO: COMISIÓN FIJA EMPRESAS BANESTO 1 F.T.A.</t>
  </si>
  <si>
    <t>EMPRESAS BANESTO 1 F.T.A., el importe de la Comisión Fija, según el siguiente detalle:</t>
  </si>
  <si>
    <t>RETENCION GTOS EMISION</t>
  </si>
  <si>
    <t>RETENCION 4312 (irpf profesionales)</t>
  </si>
  <si>
    <t>Bonos</t>
  </si>
  <si>
    <t>Originador Derechos Crédito</t>
  </si>
  <si>
    <t>Nº BONOS</t>
  </si>
  <si>
    <t>Serie C</t>
  </si>
  <si>
    <t>AMORTIZACION E INTERESES BONOS</t>
  </si>
  <si>
    <t>Amortización Serie C</t>
  </si>
  <si>
    <t xml:space="preserve">Importe Neto </t>
  </si>
  <si>
    <t>Fecha Amortización Periodo Actual</t>
  </si>
  <si>
    <t xml:space="preserve">Amortización de </t>
  </si>
  <si>
    <t>los Bonos</t>
  </si>
  <si>
    <t>Intereses</t>
  </si>
  <si>
    <t>Brutos Bonos</t>
  </si>
  <si>
    <t>Fecha de Desembolso BT'S</t>
  </si>
  <si>
    <t xml:space="preserve">Agencias de </t>
  </si>
  <si>
    <t>S&amp;P</t>
  </si>
  <si>
    <t>Serie B</t>
  </si>
  <si>
    <t>NO</t>
  </si>
  <si>
    <t>ppl Pte BONOS</t>
  </si>
  <si>
    <t>F.RESERVA PPAL ANTERIOR</t>
  </si>
  <si>
    <t>CANTIDAD DEVENGADA AMORTIZACIÓN</t>
  </si>
  <si>
    <t>CONCEPTO</t>
  </si>
  <si>
    <t>ASSET SECURITISATION FUND EMPRESAS BANESTO 1 F.T.A.</t>
  </si>
  <si>
    <t>In accordance with Section 4.8, d) of the Prospectus and Clause 12.3, d) of Deed of Constitution of the above-mentioned</t>
  </si>
  <si>
    <t>Fund, SANTANDER DE TITULIZACIÓN S.G.F.T., S.A., in the name of the Fund, has determinated the nominal interest</t>
  </si>
  <si>
    <t>rate applicable to the Bonds for the first Interest Accrual Period, according to the criteria contained in both documents,</t>
  </si>
  <si>
    <t>which are as follows:</t>
  </si>
  <si>
    <t>CONCEPT</t>
  </si>
  <si>
    <t>Class A1</t>
  </si>
  <si>
    <t>Class A2</t>
  </si>
  <si>
    <t>Class B</t>
  </si>
  <si>
    <t>Class C</t>
  </si>
  <si>
    <t>Class D</t>
  </si>
  <si>
    <t>1. Fixing Date: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</si>
</sst>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_);\(#,##0\)"/>
    <numFmt numFmtId="175" formatCode="#,##0.00_);\(#,##0.00\)"/>
    <numFmt numFmtId="176" formatCode="dd\-mm\-yy"/>
    <numFmt numFmtId="177" formatCode="0.00000"/>
    <numFmt numFmtId="178" formatCode="#,##0.00\ \€"/>
    <numFmt numFmtId="179" formatCode="0.000%"/>
    <numFmt numFmtId="180" formatCode="_-* #,##0.00\ _P_t_a_-;\-* #,##0.00\ _P_t_a_-;_-* &quot;-&quot;\ _P_t_a_-;_-@_-"/>
    <numFmt numFmtId="181" formatCode="[$-C0A]d\ &quot;de&quot;\ mmmm\ &quot;de&quot;\ yyyy;@"/>
    <numFmt numFmtId="182" formatCode="[$-C0A]d\-mmm\-yy;@"/>
    <numFmt numFmtId="183" formatCode="#,##0.00\ [$€-1]"/>
    <numFmt numFmtId="184" formatCode="#,##0.00\ [$€-1];[Red]\-#,##0.00\ [$€-1]"/>
    <numFmt numFmtId="185" formatCode="_-* #,##0.00\ [$€-1]_-;\-* #,##0.00\ [$€-1]_-;_-* &quot;-&quot;??\ [$€-1]_-"/>
    <numFmt numFmtId="186" formatCode="_-* #,##0.00\ [$€-1]_-;\-* #,##0.00\ [$€-1]_-;_-* &quot;-&quot;??\ [$€-1]_-;_-@_-"/>
    <numFmt numFmtId="187" formatCode="#,##0_ ;\-#,##0\ "/>
    <numFmt numFmtId="188" formatCode="[$-C0A]d\-mmm\-yyyy;@"/>
    <numFmt numFmtId="189" formatCode="&quot;Fecha inicial: &quot;dd\ mm\ yyyy"/>
    <numFmt numFmtId="190" formatCode="&quot;Fecha actual: &quot;dd\ mm\ yyyy"/>
    <numFmt numFmtId="191" formatCode="&quot;TACP &quot;\ 0.00%"/>
    <numFmt numFmtId="192" formatCode="&quot;Pago: &quot;#,##0.00"/>
    <numFmt numFmtId="193" formatCode="&quot;Ingreso: &quot;#,##0.00"/>
    <numFmt numFmtId="194" formatCode="#,##0.00_);\(#,##0.00\ &quot;€&quot;\)\ "/>
    <numFmt numFmtId="195" formatCode="0.000"/>
    <numFmt numFmtId="196" formatCode="&quot;CPR &quot;\ 0.00%"/>
    <numFmt numFmtId="197" formatCode="dd\-mm\-yy;@"/>
    <numFmt numFmtId="198" formatCode="#,##0_ ;[Red]\-#,##0\ "/>
    <numFmt numFmtId="199" formatCode="&quot;Deudor &quot;\ #"/>
    <numFmt numFmtId="200" formatCode="0.0000%"/>
    <numFmt numFmtId="201" formatCode="&quot;Obligor &quot;\ #"/>
    <numFmt numFmtId="202" formatCode="0.00000%"/>
    <numFmt numFmtId="203" formatCode="0.0%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,##0.000"/>
    <numFmt numFmtId="209" formatCode="#,##0.0000"/>
    <numFmt numFmtId="210" formatCode="#,##0.00000"/>
    <numFmt numFmtId="211" formatCode="#,##0.000000"/>
    <numFmt numFmtId="212" formatCode="0.0000"/>
    <numFmt numFmtId="213" formatCode="0.0"/>
    <numFmt numFmtId="214" formatCode="[$-C0A]dddd\,\ dd&quot; de &quot;mmmm&quot; de &quot;yyyy"/>
  </numFmts>
  <fonts count="10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sz val="11"/>
      <name val="Arial"/>
      <family val="2"/>
    </font>
    <font>
      <sz val="12"/>
      <name val="SWISS"/>
      <family val="0"/>
    </font>
    <font>
      <b/>
      <sz val="12"/>
      <color indexed="10"/>
      <name val="SWISS"/>
      <family val="0"/>
    </font>
    <font>
      <sz val="12"/>
      <color indexed="12"/>
      <name val="SWISS"/>
      <family val="0"/>
    </font>
    <font>
      <b/>
      <sz val="12"/>
      <name val="SWISS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2"/>
      <color indexed="48"/>
      <name val="SWISS"/>
      <family val="0"/>
    </font>
    <font>
      <sz val="10"/>
      <name val="SWISS"/>
      <family val="0"/>
    </font>
    <font>
      <b/>
      <sz val="12"/>
      <color indexed="10"/>
      <name val="Arial"/>
      <family val="2"/>
    </font>
    <font>
      <b/>
      <sz val="10"/>
      <color indexed="10"/>
      <name val="SWISS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46"/>
      <name val="SWISS"/>
      <family val="0"/>
    </font>
    <font>
      <b/>
      <sz val="12"/>
      <color indexed="9"/>
      <name val="SWISS"/>
      <family val="0"/>
    </font>
    <font>
      <sz val="10"/>
      <color indexed="8"/>
      <name val="ARIAL"/>
      <family val="0"/>
    </font>
    <font>
      <i/>
      <sz val="10"/>
      <name val="Arial"/>
      <family val="0"/>
    </font>
    <font>
      <b/>
      <i/>
      <sz val="12"/>
      <name val="SWISS"/>
      <family val="0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SWISS"/>
      <family val="0"/>
    </font>
    <font>
      <b/>
      <sz val="11"/>
      <name val="Arial"/>
      <family val="2"/>
    </font>
    <font>
      <i/>
      <sz val="12"/>
      <name val="Arial"/>
      <family val="2"/>
    </font>
    <font>
      <b/>
      <sz val="12"/>
      <color indexed="11"/>
      <name val="Arial"/>
      <family val="2"/>
    </font>
    <font>
      <b/>
      <i/>
      <sz val="12"/>
      <color indexed="11"/>
      <name val="Arial"/>
      <family val="2"/>
    </font>
    <font>
      <b/>
      <i/>
      <sz val="12"/>
      <color indexed="9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b/>
      <sz val="10"/>
      <color indexed="9"/>
      <name val="SWISS"/>
      <family val="0"/>
    </font>
    <font>
      <sz val="10"/>
      <color indexed="12"/>
      <name val="Arial"/>
      <family val="2"/>
    </font>
    <font>
      <b/>
      <sz val="12"/>
      <color indexed="23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vertAlign val="superscript"/>
      <sz val="10"/>
      <name val="Arial"/>
      <family val="2"/>
    </font>
    <font>
      <b/>
      <i/>
      <sz val="12"/>
      <color indexed="9"/>
      <name val="SWISS"/>
      <family val="0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b/>
      <i/>
      <sz val="11"/>
      <color indexed="9"/>
      <name val="Arial"/>
      <family val="2"/>
    </font>
    <font>
      <b/>
      <sz val="16"/>
      <name val="Arial"/>
      <family val="2"/>
    </font>
    <font>
      <b/>
      <u val="single"/>
      <sz val="12"/>
      <color indexed="12"/>
      <name val="Arial"/>
      <family val="2"/>
    </font>
    <font>
      <b/>
      <i/>
      <sz val="10"/>
      <color indexed="48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i/>
      <sz val="10"/>
      <color indexed="9"/>
      <name val="SWISS"/>
      <family val="0"/>
    </font>
    <font>
      <b/>
      <i/>
      <sz val="12"/>
      <color indexed="10"/>
      <name val="SWISS"/>
      <family val="0"/>
    </font>
    <font>
      <i/>
      <sz val="10"/>
      <color indexed="10"/>
      <name val="Arial"/>
      <family val="2"/>
    </font>
    <font>
      <b/>
      <sz val="8"/>
      <color indexed="9"/>
      <name val="Times New Roman"/>
      <family val="1"/>
    </font>
    <font>
      <b/>
      <vertAlign val="superscript"/>
      <sz val="10"/>
      <color indexed="9"/>
      <name val="Arial"/>
      <family val="2"/>
    </font>
    <font>
      <b/>
      <vertAlign val="superscript"/>
      <sz val="10"/>
      <name val="Arial"/>
      <family val="2"/>
    </font>
    <font>
      <b/>
      <i/>
      <u val="single"/>
      <vertAlign val="superscript"/>
      <sz val="8"/>
      <name val="Arial"/>
      <family val="2"/>
    </font>
    <font>
      <b/>
      <i/>
      <u val="single"/>
      <sz val="8"/>
      <name val="Arial"/>
      <family val="2"/>
    </font>
    <font>
      <b/>
      <i/>
      <vertAlign val="superscript"/>
      <sz val="8"/>
      <name val="Arial"/>
      <family val="2"/>
    </font>
    <font>
      <b/>
      <i/>
      <sz val="8"/>
      <name val="Arial"/>
      <family val="2"/>
    </font>
    <font>
      <b/>
      <sz val="9"/>
      <color indexed="9"/>
      <name val="Arial"/>
      <family val="2"/>
    </font>
    <font>
      <sz val="11.75"/>
      <name val="Arial"/>
      <family val="0"/>
    </font>
    <font>
      <sz val="8.25"/>
      <name val="Arial"/>
      <family val="2"/>
    </font>
    <font>
      <sz val="11.25"/>
      <name val="Arial"/>
      <family val="0"/>
    </font>
    <font>
      <u val="single"/>
      <sz val="8"/>
      <name val="Arial"/>
      <family val="2"/>
    </font>
    <font>
      <sz val="10"/>
      <color indexed="10"/>
      <name val="Arial"/>
      <family val="0"/>
    </font>
    <font>
      <b/>
      <sz val="12"/>
      <name val="Tahoma"/>
      <family val="2"/>
    </font>
    <font>
      <b/>
      <sz val="8.25"/>
      <name val="Arial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b/>
      <i/>
      <sz val="10"/>
      <color indexed="10"/>
      <name val="Arial"/>
      <family val="2"/>
    </font>
    <font>
      <b/>
      <i/>
      <sz val="13"/>
      <color indexed="9"/>
      <name val="Arial"/>
      <family val="2"/>
    </font>
    <font>
      <b/>
      <sz val="13"/>
      <color indexed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10"/>
      <name val="Tahoma"/>
      <family val="2"/>
    </font>
    <font>
      <b/>
      <i/>
      <sz val="10"/>
      <color indexed="17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14"/>
      <name val="Arial"/>
      <family val="2"/>
    </font>
    <font>
      <b/>
      <sz val="10"/>
      <color indexed="14"/>
      <name val="Arial"/>
      <family val="2"/>
    </font>
    <font>
      <sz val="7"/>
      <color indexed="23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bgColor indexed="47"/>
      </patternFill>
    </fill>
  </fills>
  <borders count="15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DashDotDot">
        <color indexed="10"/>
      </left>
      <right>
        <color indexed="63"/>
      </right>
      <top style="mediumDashDotDot">
        <color indexed="10"/>
      </top>
      <bottom>
        <color indexed="63"/>
      </bottom>
    </border>
    <border>
      <left>
        <color indexed="63"/>
      </left>
      <right>
        <color indexed="63"/>
      </right>
      <top style="mediumDashDotDot">
        <color indexed="10"/>
      </top>
      <bottom>
        <color indexed="63"/>
      </bottom>
    </border>
    <border>
      <left>
        <color indexed="63"/>
      </left>
      <right style="mediumDashDotDot">
        <color indexed="10"/>
      </right>
      <top style="mediumDashDotDot">
        <color indexed="10"/>
      </top>
      <bottom>
        <color indexed="63"/>
      </bottom>
    </border>
    <border>
      <left style="mediumDashDot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>
        <color indexed="10"/>
      </right>
      <top>
        <color indexed="63"/>
      </top>
      <bottom>
        <color indexed="63"/>
      </bottom>
    </border>
    <border>
      <left>
        <color indexed="63"/>
      </left>
      <right style="mediumDashDotDot">
        <color indexed="10"/>
      </right>
      <top>
        <color indexed="63"/>
      </top>
      <bottom style="mediumDashDotDot">
        <color indexed="10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ck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mediumDashDotDot">
        <color indexed="10"/>
      </left>
      <right>
        <color indexed="63"/>
      </right>
      <top>
        <color indexed="63"/>
      </top>
      <bottom style="mediumDashDotDot">
        <color indexed="10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0"/>
      </bottom>
    </border>
    <border>
      <left style="thin"/>
      <right style="thick"/>
      <top style="medium"/>
      <bottom style="thin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mediumDashDot">
        <color indexed="32"/>
      </left>
      <right>
        <color indexed="63"/>
      </right>
      <top style="mediumDashDot">
        <color indexed="32"/>
      </top>
      <bottom style="mediumDashDot">
        <color indexed="32"/>
      </bottom>
    </border>
    <border>
      <left>
        <color indexed="63"/>
      </left>
      <right>
        <color indexed="63"/>
      </right>
      <top style="mediumDashDot">
        <color indexed="32"/>
      </top>
      <bottom style="mediumDashDot">
        <color indexed="32"/>
      </bottom>
    </border>
    <border>
      <left>
        <color indexed="63"/>
      </left>
      <right style="mediumDashDot">
        <color indexed="32"/>
      </right>
      <top style="mediumDashDot">
        <color indexed="32"/>
      </top>
      <bottom style="mediumDashDot">
        <color indexed="32"/>
      </bottom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 style="thin"/>
    </border>
  </borders>
  <cellStyleXfs count="2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2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74" fontId="8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4" fontId="4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8" fillId="0" borderId="0" xfId="0" applyNumberFormat="1" applyFont="1" applyAlignment="1" applyProtection="1">
      <alignment/>
      <protection/>
    </xf>
    <xf numFmtId="175" fontId="2" fillId="0" borderId="0" xfId="0" applyNumberFormat="1" applyFont="1" applyAlignment="1" applyProtection="1">
      <alignment/>
      <protection/>
    </xf>
    <xf numFmtId="4" fontId="12" fillId="0" borderId="0" xfId="0" applyNumberFormat="1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14" fillId="0" borderId="0" xfId="0" applyFont="1" applyAlignment="1">
      <alignment/>
    </xf>
    <xf numFmtId="4" fontId="9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4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78" fontId="4" fillId="0" borderId="13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8" fontId="4" fillId="0" borderId="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18" fillId="0" borderId="0" xfId="0" applyNumberFormat="1" applyFont="1" applyAlignment="1">
      <alignment/>
    </xf>
    <xf numFmtId="0" fontId="19" fillId="0" borderId="0" xfId="0" applyFont="1" applyAlignment="1" applyProtection="1">
      <alignment horizontal="left"/>
      <protection/>
    </xf>
    <xf numFmtId="175" fontId="10" fillId="0" borderId="0" xfId="0" applyNumberFormat="1" applyFont="1" applyAlignment="1" applyProtection="1">
      <alignment horizontal="right"/>
      <protection locked="0"/>
    </xf>
    <xf numFmtId="0" fontId="4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4" fontId="4" fillId="0" borderId="0" xfId="26" applyNumberFormat="1" applyFont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 quotePrefix="1">
      <alignment/>
    </xf>
    <xf numFmtId="0" fontId="0" fillId="0" borderId="1" xfId="0" applyBorder="1" applyAlignment="1">
      <alignment/>
    </xf>
    <xf numFmtId="4" fontId="20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0" fillId="0" borderId="0" xfId="0" applyAlignment="1">
      <alignment horizontal="right"/>
    </xf>
    <xf numFmtId="0" fontId="8" fillId="0" borderId="0" xfId="0" applyFont="1" applyFill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4" fontId="0" fillId="2" borderId="0" xfId="0" applyNumberFormat="1" applyFill="1" applyAlignment="1">
      <alignment/>
    </xf>
    <xf numFmtId="4" fontId="10" fillId="0" borderId="0" xfId="0" applyNumberFormat="1" applyFont="1" applyFill="1" applyAlignment="1" applyProtection="1">
      <alignment/>
      <protection locked="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/>
    </xf>
    <xf numFmtId="4" fontId="4" fillId="0" borderId="1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6" fontId="0" fillId="0" borderId="0" xfId="0" applyNumberFormat="1" applyAlignment="1">
      <alignment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80" fontId="4" fillId="0" borderId="0" xfId="20" applyNumberFormat="1" applyFont="1" applyAlignment="1">
      <alignment/>
    </xf>
    <xf numFmtId="10" fontId="4" fillId="0" borderId="0" xfId="26" applyNumberFormat="1" applyFont="1" applyAlignment="1">
      <alignment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23" fillId="0" borderId="0" xfId="0" applyNumberFormat="1" applyFont="1" applyAlignment="1" applyProtection="1">
      <alignment/>
      <protection locked="0"/>
    </xf>
    <xf numFmtId="0" fontId="8" fillId="0" borderId="16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0" fillId="0" borderId="16" xfId="0" applyBorder="1" applyAlignment="1">
      <alignment/>
    </xf>
    <xf numFmtId="4" fontId="23" fillId="0" borderId="16" xfId="0" applyNumberFormat="1" applyFont="1" applyBorder="1" applyAlignment="1" applyProtection="1">
      <alignment/>
      <protection locked="0"/>
    </xf>
    <xf numFmtId="0" fontId="0" fillId="0" borderId="16" xfId="0" applyBorder="1" applyAlignment="1">
      <alignment horizontal="right"/>
    </xf>
    <xf numFmtId="175" fontId="10" fillId="0" borderId="16" xfId="0" applyNumberFormat="1" applyFont="1" applyBorder="1" applyAlignment="1" applyProtection="1">
      <alignment/>
      <protection locked="0"/>
    </xf>
    <xf numFmtId="174" fontId="8" fillId="0" borderId="16" xfId="0" applyNumberFormat="1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175" fontId="10" fillId="3" borderId="0" xfId="0" applyNumberFormat="1" applyFont="1" applyFill="1" applyAlignment="1" applyProtection="1">
      <alignment horizontal="right"/>
      <protection locked="0"/>
    </xf>
    <xf numFmtId="175" fontId="10" fillId="0" borderId="0" xfId="0" applyNumberFormat="1" applyFont="1" applyFill="1" applyAlignment="1" applyProtection="1">
      <alignment horizontal="right"/>
      <protection locked="0"/>
    </xf>
    <xf numFmtId="174" fontId="8" fillId="0" borderId="15" xfId="0" applyNumberFormat="1" applyFont="1" applyBorder="1" applyAlignment="1" applyProtection="1">
      <alignment horizontal="right"/>
      <protection/>
    </xf>
    <xf numFmtId="175" fontId="2" fillId="0" borderId="0" xfId="0" applyNumberFormat="1" applyFont="1" applyAlignment="1" applyProtection="1">
      <alignment horizontal="right"/>
      <protection/>
    </xf>
    <xf numFmtId="174" fontId="8" fillId="0" borderId="0" xfId="0" applyNumberFormat="1" applyFont="1" applyAlignment="1" applyProtection="1">
      <alignment horizontal="right"/>
      <protection/>
    </xf>
    <xf numFmtId="174" fontId="8" fillId="0" borderId="0" xfId="0" applyNumberFormat="1" applyFont="1" applyFill="1" applyAlignment="1" applyProtection="1">
      <alignment horizontal="right"/>
      <protection/>
    </xf>
    <xf numFmtId="4" fontId="10" fillId="0" borderId="0" xfId="0" applyNumberFormat="1" applyFont="1" applyFill="1" applyAlignment="1" applyProtection="1">
      <alignment horizontal="right"/>
      <protection locked="0"/>
    </xf>
    <xf numFmtId="174" fontId="10" fillId="0" borderId="0" xfId="0" applyNumberFormat="1" applyFont="1" applyAlignment="1" applyProtection="1">
      <alignment horizontal="right"/>
      <protection locked="0"/>
    </xf>
    <xf numFmtId="0" fontId="29" fillId="0" borderId="0" xfId="0" applyFont="1" applyAlignment="1" applyProtection="1">
      <alignment/>
      <protection/>
    </xf>
    <xf numFmtId="0" fontId="30" fillId="4" borderId="0" xfId="24" applyFont="1" applyFill="1">
      <alignment/>
      <protection/>
    </xf>
    <xf numFmtId="0" fontId="30" fillId="4" borderId="0" xfId="24" applyFont="1" applyFill="1" applyProtection="1">
      <alignment/>
      <protection locked="0"/>
    </xf>
    <xf numFmtId="3" fontId="30" fillId="4" borderId="0" xfId="24" applyNumberFormat="1" applyFont="1" applyFill="1" applyAlignment="1" applyProtection="1">
      <alignment horizontal="right"/>
      <protection locked="0"/>
    </xf>
    <xf numFmtId="179" fontId="30" fillId="4" borderId="0" xfId="26" applyNumberFormat="1" applyFont="1" applyFill="1" applyAlignment="1">
      <alignment horizontal="center"/>
    </xf>
    <xf numFmtId="4" fontId="30" fillId="5" borderId="18" xfId="24" applyNumberFormat="1" applyFont="1" applyFill="1" applyBorder="1" applyAlignment="1" applyProtection="1">
      <alignment/>
      <protection locked="0"/>
    </xf>
    <xf numFmtId="179" fontId="30" fillId="4" borderId="19" xfId="24" applyNumberFormat="1" applyFont="1" applyFill="1" applyBorder="1">
      <alignment/>
      <protection/>
    </xf>
    <xf numFmtId="4" fontId="32" fillId="4" borderId="0" xfId="24" applyNumberFormat="1" applyFont="1" applyFill="1" applyAlignment="1" applyProtection="1">
      <alignment/>
      <protection locked="0"/>
    </xf>
    <xf numFmtId="179" fontId="30" fillId="4" borderId="20" xfId="24" applyNumberFormat="1" applyFont="1" applyFill="1" applyBorder="1">
      <alignment/>
      <protection/>
    </xf>
    <xf numFmtId="3" fontId="30" fillId="4" borderId="0" xfId="24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>
      <alignment/>
    </xf>
    <xf numFmtId="175" fontId="1" fillId="0" borderId="0" xfId="0" applyNumberFormat="1" applyFont="1" applyAlignment="1" applyProtection="1">
      <alignment/>
      <protection/>
    </xf>
    <xf numFmtId="4" fontId="36" fillId="4" borderId="12" xfId="24" applyNumberFormat="1" applyFont="1" applyFill="1" applyBorder="1">
      <alignment/>
      <protection/>
    </xf>
    <xf numFmtId="0" fontId="36" fillId="4" borderId="2" xfId="24" applyFont="1" applyFill="1" applyBorder="1">
      <alignment/>
      <protection/>
    </xf>
    <xf numFmtId="0" fontId="36" fillId="4" borderId="0" xfId="24" applyFont="1" applyFill="1">
      <alignment/>
      <protection/>
    </xf>
    <xf numFmtId="179" fontId="36" fillId="4" borderId="9" xfId="24" applyNumberFormat="1" applyFont="1" applyFill="1" applyBorder="1">
      <alignment/>
      <protection/>
    </xf>
    <xf numFmtId="0" fontId="36" fillId="4" borderId="1" xfId="24" applyFont="1" applyFill="1" applyBorder="1">
      <alignment/>
      <protection/>
    </xf>
    <xf numFmtId="4" fontId="36" fillId="4" borderId="10" xfId="24" applyNumberFormat="1" applyFont="1" applyFill="1" applyBorder="1">
      <alignment/>
      <protection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4" fontId="30" fillId="5" borderId="21" xfId="24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/>
    </xf>
    <xf numFmtId="0" fontId="39" fillId="0" borderId="0" xfId="0" applyFont="1" applyAlignment="1">
      <alignment horizontal="center"/>
    </xf>
    <xf numFmtId="4" fontId="40" fillId="4" borderId="0" xfId="24" applyNumberFormat="1" applyFont="1" applyFill="1" applyAlignment="1" applyProtection="1">
      <alignment/>
      <protection locked="0"/>
    </xf>
    <xf numFmtId="4" fontId="40" fillId="5" borderId="21" xfId="24" applyNumberFormat="1" applyFont="1" applyFill="1" applyBorder="1" applyAlignment="1" applyProtection="1">
      <alignment/>
      <protection locked="0"/>
    </xf>
    <xf numFmtId="4" fontId="40" fillId="4" borderId="18" xfId="24" applyNumberFormat="1" applyFont="1" applyFill="1" applyBorder="1" applyAlignment="1" applyProtection="1">
      <alignment/>
      <protection locked="0"/>
    </xf>
    <xf numFmtId="4" fontId="30" fillId="0" borderId="18" xfId="24" applyNumberFormat="1" applyFont="1" applyFill="1" applyBorder="1" applyAlignment="1" applyProtection="1">
      <alignment/>
      <protection locked="0"/>
    </xf>
    <xf numFmtId="179" fontId="30" fillId="2" borderId="18" xfId="26" applyNumberFormat="1" applyFont="1" applyFill="1" applyBorder="1" applyAlignment="1">
      <alignment/>
    </xf>
    <xf numFmtId="175" fontId="33" fillId="3" borderId="0" xfId="0" applyNumberFormat="1" applyFont="1" applyFill="1" applyAlignment="1" applyProtection="1">
      <alignment horizontal="right"/>
      <protection locked="0"/>
    </xf>
    <xf numFmtId="10" fontId="8" fillId="0" borderId="0" xfId="0" applyNumberFormat="1" applyFont="1" applyAlignment="1" applyProtection="1">
      <alignment/>
      <protection/>
    </xf>
    <xf numFmtId="0" fontId="29" fillId="0" borderId="3" xfId="0" applyFont="1" applyBorder="1" applyAlignment="1">
      <alignment/>
    </xf>
    <xf numFmtId="0" fontId="8" fillId="0" borderId="4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4" fontId="8" fillId="0" borderId="6" xfId="0" applyNumberFormat="1" applyFont="1" applyBorder="1" applyAlignment="1" applyProtection="1">
      <alignment/>
      <protection/>
    </xf>
    <xf numFmtId="0" fontId="8" fillId="0" borderId="7" xfId="0" applyFont="1" applyBorder="1" applyAlignment="1" applyProtection="1">
      <alignment/>
      <protection/>
    </xf>
    <xf numFmtId="10" fontId="8" fillId="0" borderId="8" xfId="0" applyNumberFormat="1" applyFont="1" applyBorder="1" applyAlignment="1" applyProtection="1">
      <alignment/>
      <protection/>
    </xf>
    <xf numFmtId="4" fontId="8" fillId="0" borderId="3" xfId="0" applyNumberFormat="1" applyFont="1" applyBorder="1" applyAlignment="1" applyProtection="1">
      <alignment/>
      <protection/>
    </xf>
    <xf numFmtId="10" fontId="8" fillId="0" borderId="5" xfId="0" applyNumberFormat="1" applyFont="1" applyBorder="1" applyAlignment="1" applyProtection="1">
      <alignment/>
      <protection/>
    </xf>
    <xf numFmtId="4" fontId="30" fillId="0" borderId="0" xfId="24" applyNumberFormat="1" applyFont="1" applyFill="1" applyBorder="1" applyAlignment="1" applyProtection="1">
      <alignment/>
      <protection locked="0"/>
    </xf>
    <xf numFmtId="4" fontId="30" fillId="0" borderId="22" xfId="24" applyNumberFormat="1" applyFont="1" applyFill="1" applyBorder="1" applyAlignment="1" applyProtection="1">
      <alignment/>
      <protection locked="0"/>
    </xf>
    <xf numFmtId="10" fontId="30" fillId="0" borderId="23" xfId="26" applyNumberFormat="1" applyFont="1" applyFill="1" applyBorder="1" applyAlignment="1" applyProtection="1">
      <alignment/>
      <protection locked="0"/>
    </xf>
    <xf numFmtId="10" fontId="30" fillId="0" borderId="24" xfId="26" applyNumberFormat="1" applyFont="1" applyFill="1" applyBorder="1" applyAlignment="1" applyProtection="1">
      <alignment/>
      <protection locked="0"/>
    </xf>
    <xf numFmtId="10" fontId="30" fillId="0" borderId="4" xfId="26" applyNumberFormat="1" applyFont="1" applyFill="1" applyBorder="1" applyAlignment="1" applyProtection="1">
      <alignment/>
      <protection locked="0"/>
    </xf>
    <xf numFmtId="10" fontId="30" fillId="0" borderId="0" xfId="26" applyNumberFormat="1" applyFont="1" applyFill="1" applyBorder="1" applyAlignment="1" applyProtection="1">
      <alignment/>
      <protection locked="0"/>
    </xf>
    <xf numFmtId="4" fontId="27" fillId="2" borderId="25" xfId="0" applyNumberFormat="1" applyFont="1" applyFill="1" applyBorder="1" applyAlignment="1" applyProtection="1">
      <alignment/>
      <protection/>
    </xf>
    <xf numFmtId="0" fontId="27" fillId="2" borderId="26" xfId="0" applyFont="1" applyFill="1" applyBorder="1" applyAlignment="1" applyProtection="1">
      <alignment/>
      <protection/>
    </xf>
    <xf numFmtId="179" fontId="27" fillId="2" borderId="27" xfId="26" applyNumberFormat="1" applyFont="1" applyFill="1" applyBorder="1" applyAlignment="1" applyProtection="1">
      <alignment/>
      <protection/>
    </xf>
    <xf numFmtId="0" fontId="35" fillId="0" borderId="12" xfId="0" applyFont="1" applyBorder="1" applyAlignment="1">
      <alignment/>
    </xf>
    <xf numFmtId="0" fontId="0" fillId="0" borderId="28" xfId="0" applyBorder="1" applyAlignment="1">
      <alignment/>
    </xf>
    <xf numFmtId="14" fontId="8" fillId="0" borderId="2" xfId="0" applyNumberFormat="1" applyFont="1" applyBorder="1" applyAlignment="1" applyProtection="1">
      <alignment/>
      <protection/>
    </xf>
    <xf numFmtId="0" fontId="35" fillId="0" borderId="3" xfId="0" applyFont="1" applyBorder="1" applyAlignment="1">
      <alignment/>
    </xf>
    <xf numFmtId="0" fontId="0" fillId="0" borderId="4" xfId="0" applyBorder="1" applyAlignment="1">
      <alignment/>
    </xf>
    <xf numFmtId="0" fontId="35" fillId="0" borderId="6" xfId="0" applyFont="1" applyBorder="1" applyAlignment="1">
      <alignment/>
    </xf>
    <xf numFmtId="0" fontId="0" fillId="0" borderId="7" xfId="0" applyBorder="1" applyAlignment="1">
      <alignment/>
    </xf>
    <xf numFmtId="0" fontId="31" fillId="6" borderId="1" xfId="24" applyFont="1" applyFill="1" applyBorder="1" applyAlignment="1" applyProtection="1">
      <alignment horizontal="center"/>
      <protection locked="0"/>
    </xf>
    <xf numFmtId="0" fontId="31" fillId="6" borderId="12" xfId="24" applyFont="1" applyFill="1" applyBorder="1" applyAlignment="1" applyProtection="1">
      <alignment horizontal="center"/>
      <protection locked="0"/>
    </xf>
    <xf numFmtId="3" fontId="38" fillId="6" borderId="10" xfId="24" applyNumberFormat="1" applyFont="1" applyFill="1" applyBorder="1" applyAlignment="1" applyProtection="1">
      <alignment horizontal="center"/>
      <protection locked="0"/>
    </xf>
    <xf numFmtId="0" fontId="31" fillId="6" borderId="10" xfId="24" applyFont="1" applyFill="1" applyBorder="1" applyAlignment="1">
      <alignment horizontal="center"/>
      <protection/>
    </xf>
    <xf numFmtId="3" fontId="38" fillId="6" borderId="9" xfId="24" applyNumberFormat="1" applyFont="1" applyFill="1" applyBorder="1" applyAlignment="1" applyProtection="1">
      <alignment horizontal="center"/>
      <protection locked="0"/>
    </xf>
    <xf numFmtId="0" fontId="31" fillId="6" borderId="9" xfId="24" applyFont="1" applyFill="1" applyBorder="1" applyAlignment="1">
      <alignment horizontal="center"/>
      <protection/>
    </xf>
    <xf numFmtId="9" fontId="31" fillId="6" borderId="10" xfId="24" applyNumberFormat="1" applyFont="1" applyFill="1" applyBorder="1" applyAlignment="1">
      <alignment horizontal="center"/>
      <protection/>
    </xf>
    <xf numFmtId="0" fontId="24" fillId="6" borderId="0" xfId="0" applyFont="1" applyFill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 quotePrefix="1">
      <alignment horizontal="center"/>
      <protection/>
    </xf>
    <xf numFmtId="4" fontId="8" fillId="0" borderId="8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2" borderId="18" xfId="0" applyFill="1" applyBorder="1" applyAlignment="1">
      <alignment/>
    </xf>
    <xf numFmtId="4" fontId="7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8" fillId="0" borderId="28" xfId="0" applyFont="1" applyBorder="1" applyAlignment="1" applyProtection="1">
      <alignment/>
      <protection/>
    </xf>
    <xf numFmtId="4" fontId="8" fillId="0" borderId="2" xfId="0" applyNumberFormat="1" applyFont="1" applyBorder="1" applyAlignment="1" applyProtection="1">
      <alignment/>
      <protection/>
    </xf>
    <xf numFmtId="0" fontId="7" fillId="0" borderId="3" xfId="0" applyFont="1" applyBorder="1" applyAlignment="1">
      <alignment/>
    </xf>
    <xf numFmtId="4" fontId="8" fillId="0" borderId="5" xfId="0" applyNumberFormat="1" applyFont="1" applyBorder="1" applyAlignment="1" applyProtection="1">
      <alignment/>
      <protection/>
    </xf>
    <xf numFmtId="0" fontId="7" fillId="0" borderId="6" xfId="0" applyFont="1" applyBorder="1" applyAlignment="1">
      <alignment/>
    </xf>
    <xf numFmtId="4" fontId="8" fillId="0" borderId="1" xfId="0" applyNumberFormat="1" applyFont="1" applyBorder="1" applyAlignment="1" applyProtection="1">
      <alignment/>
      <protection/>
    </xf>
    <xf numFmtId="0" fontId="7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174" fontId="8" fillId="0" borderId="3" xfId="0" applyNumberFormat="1" applyFont="1" applyBorder="1" applyAlignment="1" applyProtection="1">
      <alignment/>
      <protection/>
    </xf>
    <xf numFmtId="174" fontId="8" fillId="0" borderId="6" xfId="0" applyNumberFormat="1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79" fontId="27" fillId="0" borderId="0" xfId="0" applyNumberFormat="1" applyFont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179" fontId="8" fillId="0" borderId="5" xfId="0" applyNumberFormat="1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27" fillId="0" borderId="12" xfId="0" applyFont="1" applyBorder="1" applyAlignment="1" applyProtection="1">
      <alignment/>
      <protection/>
    </xf>
    <xf numFmtId="0" fontId="27" fillId="0" borderId="2" xfId="0" applyFont="1" applyBorder="1" applyAlignment="1" applyProtection="1">
      <alignment/>
      <protection/>
    </xf>
    <xf numFmtId="3" fontId="27" fillId="0" borderId="2" xfId="0" applyNumberFormat="1" applyFont="1" applyBorder="1" applyAlignment="1" applyProtection="1">
      <alignment/>
      <protection/>
    </xf>
    <xf numFmtId="181" fontId="4" fillId="0" borderId="3" xfId="0" applyNumberFormat="1" applyFont="1" applyBorder="1" applyAlignment="1">
      <alignment/>
    </xf>
    <xf numFmtId="4" fontId="4" fillId="0" borderId="9" xfId="0" applyNumberFormat="1" applyFont="1" applyBorder="1" applyAlignment="1">
      <alignment horizontal="center"/>
    </xf>
    <xf numFmtId="4" fontId="24" fillId="6" borderId="0" xfId="0" applyNumberFormat="1" applyFont="1" applyFill="1" applyAlignment="1" applyProtection="1">
      <alignment/>
      <protection/>
    </xf>
    <xf numFmtId="4" fontId="31" fillId="6" borderId="0" xfId="0" applyNumberFormat="1" applyFont="1" applyFill="1" applyAlignment="1">
      <alignment/>
    </xf>
    <xf numFmtId="176" fontId="44" fillId="6" borderId="0" xfId="0" applyNumberFormat="1" applyFont="1" applyFill="1" applyAlignment="1" applyProtection="1">
      <alignment horizontal="left"/>
      <protection/>
    </xf>
    <xf numFmtId="0" fontId="44" fillId="6" borderId="0" xfId="0" applyFont="1" applyFill="1" applyAlignment="1" applyProtection="1">
      <alignment horizontal="left"/>
      <protection/>
    </xf>
    <xf numFmtId="0" fontId="8" fillId="6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18" fillId="0" borderId="9" xfId="0" applyNumberFormat="1" applyFont="1" applyBorder="1" applyAlignment="1" applyProtection="1">
      <alignment/>
      <protection/>
    </xf>
    <xf numFmtId="0" fontId="18" fillId="0" borderId="1" xfId="0" applyFont="1" applyBorder="1" applyAlignment="1" applyProtection="1">
      <alignment/>
      <protection/>
    </xf>
    <xf numFmtId="4" fontId="18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18" fillId="0" borderId="10" xfId="0" applyFont="1" applyBorder="1" applyAlignment="1" applyProtection="1">
      <alignment/>
      <protection/>
    </xf>
    <xf numFmtId="0" fontId="32" fillId="0" borderId="9" xfId="0" applyFont="1" applyBorder="1" applyAlignment="1" applyProtection="1">
      <alignment/>
      <protection/>
    </xf>
    <xf numFmtId="0" fontId="32" fillId="0" borderId="11" xfId="0" applyFont="1" applyBorder="1" applyAlignment="1" applyProtection="1">
      <alignment/>
      <protection/>
    </xf>
    <xf numFmtId="0" fontId="32" fillId="0" borderId="10" xfId="0" applyFont="1" applyBorder="1" applyAlignment="1" applyProtection="1">
      <alignment/>
      <protection/>
    </xf>
    <xf numFmtId="0" fontId="40" fillId="0" borderId="1" xfId="0" applyFont="1" applyBorder="1" applyAlignment="1" applyProtection="1">
      <alignment/>
      <protection/>
    </xf>
    <xf numFmtId="0" fontId="46" fillId="0" borderId="1" xfId="0" applyFont="1" applyBorder="1" applyAlignment="1" applyProtection="1">
      <alignment/>
      <protection/>
    </xf>
    <xf numFmtId="0" fontId="47" fillId="0" borderId="1" xfId="0" applyFont="1" applyBorder="1" applyAlignment="1" applyProtection="1">
      <alignment/>
      <protection/>
    </xf>
    <xf numFmtId="0" fontId="47" fillId="0" borderId="1" xfId="0" applyFont="1" applyBorder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30" xfId="0" applyFont="1" applyBorder="1" applyAlignment="1">
      <alignment/>
    </xf>
    <xf numFmtId="4" fontId="49" fillId="0" borderId="30" xfId="0" applyNumberFormat="1" applyFont="1" applyBorder="1" applyAlignment="1">
      <alignment/>
    </xf>
    <xf numFmtId="0" fontId="20" fillId="0" borderId="0" xfId="0" applyFont="1" applyAlignment="1">
      <alignment/>
    </xf>
    <xf numFmtId="0" fontId="50" fillId="0" borderId="31" xfId="0" applyFont="1" applyBorder="1" applyAlignment="1">
      <alignment/>
    </xf>
    <xf numFmtId="4" fontId="50" fillId="0" borderId="31" xfId="0" applyNumberFormat="1" applyFont="1" applyBorder="1" applyAlignment="1">
      <alignment/>
    </xf>
    <xf numFmtId="0" fontId="50" fillId="2" borderId="31" xfId="0" applyFont="1" applyFill="1" applyBorder="1" applyAlignment="1">
      <alignment/>
    </xf>
    <xf numFmtId="4" fontId="50" fillId="2" borderId="31" xfId="0" applyNumberFormat="1" applyFont="1" applyFill="1" applyBorder="1" applyAlignment="1">
      <alignment/>
    </xf>
    <xf numFmtId="0" fontId="50" fillId="7" borderId="32" xfId="0" applyFont="1" applyFill="1" applyBorder="1" applyAlignment="1">
      <alignment/>
    </xf>
    <xf numFmtId="4" fontId="50" fillId="7" borderId="32" xfId="0" applyNumberFormat="1" applyFont="1" applyFill="1" applyBorder="1" applyAlignment="1">
      <alignment/>
    </xf>
    <xf numFmtId="4" fontId="18" fillId="2" borderId="0" xfId="0" applyNumberFormat="1" applyFont="1" applyFill="1" applyAlignment="1" applyProtection="1">
      <alignment/>
      <protection/>
    </xf>
    <xf numFmtId="176" fontId="51" fillId="0" borderId="0" xfId="0" applyNumberFormat="1" applyFont="1" applyAlignment="1" applyProtection="1">
      <alignment horizontal="left"/>
      <protection/>
    </xf>
    <xf numFmtId="10" fontId="8" fillId="0" borderId="3" xfId="0" applyNumberFormat="1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>
      <alignment/>
    </xf>
    <xf numFmtId="179" fontId="30" fillId="4" borderId="21" xfId="24" applyNumberFormat="1" applyFont="1" applyFill="1" applyBorder="1">
      <alignment/>
      <protection/>
    </xf>
    <xf numFmtId="175" fontId="31" fillId="6" borderId="0" xfId="0" applyNumberFormat="1" applyFont="1" applyFill="1" applyBorder="1" applyAlignment="1" applyProtection="1">
      <alignment horizontal="center"/>
      <protection/>
    </xf>
    <xf numFmtId="4" fontId="8" fillId="0" borderId="0" xfId="0" applyNumberFormat="1" applyFont="1" applyBorder="1" applyAlignment="1" applyProtection="1">
      <alignment/>
      <protection/>
    </xf>
    <xf numFmtId="0" fontId="31" fillId="6" borderId="11" xfId="24" applyFont="1" applyFill="1" applyBorder="1" applyAlignment="1">
      <alignment horizontal="center"/>
      <protection/>
    </xf>
    <xf numFmtId="0" fontId="31" fillId="6" borderId="13" xfId="24" applyFont="1" applyFill="1" applyBorder="1" applyAlignment="1">
      <alignment horizontal="center"/>
      <protection/>
    </xf>
    <xf numFmtId="0" fontId="31" fillId="6" borderId="6" xfId="24" applyFont="1" applyFill="1" applyBorder="1" applyAlignment="1">
      <alignment horizontal="center"/>
      <protection/>
    </xf>
    <xf numFmtId="0" fontId="31" fillId="6" borderId="19" xfId="24" applyFont="1" applyFill="1" applyBorder="1" applyAlignment="1">
      <alignment horizontal="center"/>
      <protection/>
    </xf>
    <xf numFmtId="0" fontId="31" fillId="6" borderId="21" xfId="24" applyFont="1" applyFill="1" applyBorder="1" applyAlignment="1">
      <alignment horizontal="center"/>
      <protection/>
    </xf>
    <xf numFmtId="4" fontId="52" fillId="8" borderId="0" xfId="24" applyNumberFormat="1" applyFont="1" applyFill="1" applyAlignment="1" applyProtection="1">
      <alignment/>
      <protection locked="0"/>
    </xf>
    <xf numFmtId="4" fontId="18" fillId="0" borderId="1" xfId="0" applyNumberFormat="1" applyFont="1" applyBorder="1" applyAlignment="1" applyProtection="1">
      <alignment/>
      <protection/>
    </xf>
    <xf numFmtId="4" fontId="40" fillId="5" borderId="0" xfId="24" applyNumberFormat="1" applyFont="1" applyFill="1" applyBorder="1" applyAlignment="1" applyProtection="1">
      <alignment/>
      <protection locked="0"/>
    </xf>
    <xf numFmtId="4" fontId="53" fillId="6" borderId="25" xfId="0" applyNumberFormat="1" applyFont="1" applyFill="1" applyBorder="1" applyAlignment="1">
      <alignment/>
    </xf>
    <xf numFmtId="4" fontId="53" fillId="6" borderId="27" xfId="0" applyNumberFormat="1" applyFont="1" applyFill="1" applyBorder="1" applyAlignment="1">
      <alignment/>
    </xf>
    <xf numFmtId="0" fontId="53" fillId="6" borderId="25" xfId="0" applyFont="1" applyFill="1" applyBorder="1" applyAlignment="1">
      <alignment/>
    </xf>
    <xf numFmtId="0" fontId="54" fillId="6" borderId="25" xfId="0" applyFont="1" applyFill="1" applyBorder="1" applyAlignment="1">
      <alignment/>
    </xf>
    <xf numFmtId="4" fontId="54" fillId="6" borderId="27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8" fillId="3" borderId="16" xfId="0" applyFont="1" applyFill="1" applyBorder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0" fontId="47" fillId="3" borderId="1" xfId="0" applyFont="1" applyFill="1" applyBorder="1" applyAlignment="1">
      <alignment/>
    </xf>
    <xf numFmtId="0" fontId="11" fillId="0" borderId="0" xfId="0" applyFont="1" applyFill="1" applyAlignment="1" applyProtection="1">
      <alignment/>
      <protection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0" fontId="2" fillId="0" borderId="0" xfId="0" applyFont="1" applyAlignment="1">
      <alignment horizontal="center"/>
    </xf>
    <xf numFmtId="185" fontId="0" fillId="0" borderId="33" xfId="16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88" fontId="0" fillId="0" borderId="33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1" xfId="0" applyFont="1" applyBorder="1" applyAlignment="1">
      <alignment/>
    </xf>
    <xf numFmtId="185" fontId="0" fillId="0" borderId="37" xfId="16" applyFont="1" applyBorder="1" applyAlignment="1">
      <alignment/>
    </xf>
    <xf numFmtId="188" fontId="0" fillId="0" borderId="37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1" xfId="0" applyFont="1" applyBorder="1" applyAlignment="1">
      <alignment/>
    </xf>
    <xf numFmtId="10" fontId="0" fillId="0" borderId="38" xfId="0" applyNumberFormat="1" applyFont="1" applyBorder="1" applyAlignment="1">
      <alignment/>
    </xf>
    <xf numFmtId="3" fontId="0" fillId="0" borderId="37" xfId="0" applyNumberFormat="1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85" fontId="0" fillId="0" borderId="41" xfId="16" applyFont="1" applyBorder="1" applyAlignment="1">
      <alignment/>
    </xf>
    <xf numFmtId="0" fontId="0" fillId="0" borderId="42" xfId="0" applyFont="1" applyBorder="1" applyAlignment="1">
      <alignment/>
    </xf>
    <xf numFmtId="179" fontId="0" fillId="0" borderId="38" xfId="0" applyNumberFormat="1" applyFont="1" applyFill="1" applyBorder="1" applyAlignment="1">
      <alignment horizontal="center"/>
    </xf>
    <xf numFmtId="188" fontId="0" fillId="0" borderId="41" xfId="0" applyNumberFormat="1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185" fontId="0" fillId="0" borderId="45" xfId="16" applyFont="1" applyBorder="1" applyAlignment="1">
      <alignment/>
    </xf>
    <xf numFmtId="185" fontId="0" fillId="0" borderId="46" xfId="16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4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187" fontId="0" fillId="0" borderId="37" xfId="16" applyNumberFormat="1" applyFont="1" applyFill="1" applyBorder="1" applyAlignment="1">
      <alignment/>
    </xf>
    <xf numFmtId="10" fontId="0" fillId="0" borderId="41" xfId="16" applyNumberFormat="1" applyFont="1" applyBorder="1" applyAlignment="1">
      <alignment/>
    </xf>
    <xf numFmtId="185" fontId="0" fillId="0" borderId="1" xfId="16" applyFont="1" applyFill="1" applyBorder="1" applyAlignment="1">
      <alignment horizontal="left"/>
    </xf>
    <xf numFmtId="185" fontId="0" fillId="0" borderId="1" xfId="16" applyFont="1" applyFill="1" applyBorder="1" applyAlignment="1">
      <alignment horizontal="center"/>
    </xf>
    <xf numFmtId="185" fontId="0" fillId="0" borderId="37" xfId="16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0" fillId="0" borderId="40" xfId="0" applyNumberFormat="1" applyFont="1" applyFill="1" applyBorder="1" applyAlignment="1">
      <alignment horizontal="right"/>
    </xf>
    <xf numFmtId="10" fontId="0" fillId="0" borderId="41" xfId="0" applyNumberFormat="1" applyFont="1" applyFill="1" applyBorder="1" applyAlignment="1">
      <alignment horizontal="right"/>
    </xf>
    <xf numFmtId="185" fontId="0" fillId="0" borderId="0" xfId="0" applyNumberFormat="1" applyFont="1" applyAlignment="1">
      <alignment/>
    </xf>
    <xf numFmtId="0" fontId="12" fillId="0" borderId="34" xfId="0" applyFont="1" applyBorder="1" applyAlignment="1">
      <alignment/>
    </xf>
    <xf numFmtId="0" fontId="12" fillId="0" borderId="36" xfId="0" applyFont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85" fontId="0" fillId="0" borderId="37" xfId="16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185" fontId="0" fillId="0" borderId="41" xfId="16" applyFont="1" applyFill="1" applyBorder="1" applyAlignment="1">
      <alignment/>
    </xf>
    <xf numFmtId="0" fontId="53" fillId="9" borderId="25" xfId="0" applyFont="1" applyFill="1" applyBorder="1" applyAlignment="1">
      <alignment/>
    </xf>
    <xf numFmtId="0" fontId="53" fillId="9" borderId="27" xfId="0" applyFont="1" applyFill="1" applyBorder="1" applyAlignment="1">
      <alignment/>
    </xf>
    <xf numFmtId="185" fontId="0" fillId="0" borderId="0" xfId="16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85" fontId="0" fillId="0" borderId="0" xfId="16" applyFont="1" applyFill="1" applyBorder="1" applyAlignment="1">
      <alignment/>
    </xf>
    <xf numFmtId="0" fontId="0" fillId="0" borderId="0" xfId="0" applyFont="1" applyBorder="1" applyAlignment="1">
      <alignment horizontal="left"/>
    </xf>
    <xf numFmtId="185" fontId="0" fillId="0" borderId="0" xfId="16" applyFont="1" applyBorder="1" applyAlignment="1">
      <alignment/>
    </xf>
    <xf numFmtId="4" fontId="0" fillId="0" borderId="0" xfId="0" applyNumberFormat="1" applyFont="1" applyBorder="1" applyAlignment="1">
      <alignment/>
    </xf>
    <xf numFmtId="188" fontId="12" fillId="0" borderId="46" xfId="0" applyNumberFormat="1" applyFont="1" applyBorder="1" applyAlignment="1">
      <alignment horizontal="center"/>
    </xf>
    <xf numFmtId="10" fontId="0" fillId="0" borderId="1" xfId="0" applyNumberFormat="1" applyFont="1" applyFill="1" applyBorder="1" applyAlignment="1">
      <alignment horizontal="center"/>
    </xf>
    <xf numFmtId="190" fontId="12" fillId="0" borderId="47" xfId="0" applyNumberFormat="1" applyFont="1" applyFill="1" applyBorder="1" applyAlignment="1">
      <alignment horizontal="center"/>
    </xf>
    <xf numFmtId="184" fontId="0" fillId="0" borderId="12" xfId="0" applyNumberFormat="1" applyFont="1" applyFill="1" applyBorder="1" applyAlignment="1">
      <alignment horizontal="center"/>
    </xf>
    <xf numFmtId="184" fontId="0" fillId="0" borderId="37" xfId="0" applyNumberFormat="1" applyFont="1" applyFill="1" applyBorder="1" applyAlignment="1">
      <alignment horizontal="center"/>
    </xf>
    <xf numFmtId="0" fontId="12" fillId="0" borderId="48" xfId="0" applyFont="1" applyBorder="1" applyAlignment="1">
      <alignment vertical="center" wrapText="1"/>
    </xf>
    <xf numFmtId="0" fontId="12" fillId="0" borderId="49" xfId="0" applyFont="1" applyBorder="1" applyAlignment="1">
      <alignment horizontal="left"/>
    </xf>
    <xf numFmtId="0" fontId="0" fillId="0" borderId="50" xfId="0" applyFont="1" applyBorder="1" applyAlignment="1">
      <alignment/>
    </xf>
    <xf numFmtId="0" fontId="0" fillId="0" borderId="22" xfId="0" applyFont="1" applyBorder="1" applyAlignment="1">
      <alignment horizontal="left"/>
    </xf>
    <xf numFmtId="185" fontId="0" fillId="0" borderId="24" xfId="16" applyFont="1" applyBorder="1" applyAlignment="1">
      <alignment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24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13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22" xfId="0" applyFont="1" applyBorder="1" applyAlignment="1">
      <alignment/>
    </xf>
    <xf numFmtId="188" fontId="0" fillId="0" borderId="37" xfId="0" applyNumberFormat="1" applyFont="1" applyBorder="1" applyAlignment="1" quotePrefix="1">
      <alignment horizontal="center"/>
    </xf>
    <xf numFmtId="0" fontId="0" fillId="0" borderId="3" xfId="0" applyBorder="1" applyAlignment="1">
      <alignment horizontal="right"/>
    </xf>
    <xf numFmtId="14" fontId="0" fillId="0" borderId="5" xfId="0" applyNumberFormat="1" applyBorder="1" applyAlignment="1">
      <alignment/>
    </xf>
    <xf numFmtId="0" fontId="0" fillId="0" borderId="6" xfId="0" applyBorder="1" applyAlignment="1">
      <alignment horizontal="right"/>
    </xf>
    <xf numFmtId="14" fontId="0" fillId="0" borderId="8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179" fontId="0" fillId="0" borderId="3" xfId="0" applyNumberFormat="1" applyBorder="1" applyAlignment="1">
      <alignment/>
    </xf>
    <xf numFmtId="179" fontId="0" fillId="0" borderId="4" xfId="0" applyNumberFormat="1" applyBorder="1" applyAlignment="1">
      <alignment/>
    </xf>
    <xf numFmtId="179" fontId="0" fillId="0" borderId="5" xfId="0" applyNumberFormat="1" applyBorder="1" applyAlignment="1">
      <alignment/>
    </xf>
    <xf numFmtId="179" fontId="0" fillId="0" borderId="6" xfId="0" applyNumberFormat="1" applyBorder="1" applyAlignment="1">
      <alignment/>
    </xf>
    <xf numFmtId="179" fontId="0" fillId="0" borderId="7" xfId="0" applyNumberFormat="1" applyBorder="1" applyAlignment="1">
      <alignment/>
    </xf>
    <xf numFmtId="179" fontId="0" fillId="0" borderId="8" xfId="0" applyNumberFormat="1" applyBorder="1" applyAlignment="1">
      <alignment/>
    </xf>
    <xf numFmtId="179" fontId="0" fillId="0" borderId="1" xfId="0" applyNumberFormat="1" applyBorder="1" applyAlignment="1">
      <alignment/>
    </xf>
    <xf numFmtId="0" fontId="0" fillId="0" borderId="43" xfId="0" applyFont="1" applyFill="1" applyBorder="1" applyAlignment="1">
      <alignment/>
    </xf>
    <xf numFmtId="189" fontId="43" fillId="0" borderId="44" xfId="0" applyNumberFormat="1" applyFont="1" applyFill="1" applyBorder="1" applyAlignment="1">
      <alignment horizontal="center" wrapText="1"/>
    </xf>
    <xf numFmtId="0" fontId="0" fillId="0" borderId="54" xfId="0" applyFont="1" applyFill="1" applyBorder="1" applyAlignment="1">
      <alignment/>
    </xf>
    <xf numFmtId="182" fontId="43" fillId="0" borderId="11" xfId="0" applyNumberFormat="1" applyFont="1" applyFill="1" applyBorder="1" applyAlignment="1">
      <alignment horizontal="center" wrapText="1"/>
    </xf>
    <xf numFmtId="0" fontId="0" fillId="0" borderId="55" xfId="0" applyFont="1" applyFill="1" applyBorder="1" applyAlignment="1">
      <alignment/>
    </xf>
    <xf numFmtId="191" fontId="43" fillId="0" borderId="10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4" fontId="12" fillId="0" borderId="40" xfId="0" applyNumberFormat="1" applyFont="1" applyFill="1" applyBorder="1" applyAlignment="1">
      <alignment horizontal="center"/>
    </xf>
    <xf numFmtId="190" fontId="43" fillId="0" borderId="45" xfId="0" applyNumberFormat="1" applyFont="1" applyFill="1" applyBorder="1" applyAlignment="1">
      <alignment horizontal="center" wrapText="1"/>
    </xf>
    <xf numFmtId="182" fontId="43" fillId="0" borderId="56" xfId="0" applyNumberFormat="1" applyFont="1" applyFill="1" applyBorder="1" applyAlignment="1">
      <alignment horizontal="center" wrapText="1"/>
    </xf>
    <xf numFmtId="191" fontId="43" fillId="0" borderId="46" xfId="0" applyNumberFormat="1" applyFont="1" applyFill="1" applyBorder="1" applyAlignment="1">
      <alignment horizontal="center"/>
    </xf>
    <xf numFmtId="4" fontId="12" fillId="0" borderId="46" xfId="0" applyNumberFormat="1" applyFont="1" applyFill="1" applyBorder="1" applyAlignment="1">
      <alignment horizontal="center"/>
    </xf>
    <xf numFmtId="4" fontId="12" fillId="0" borderId="41" xfId="0" applyNumberFormat="1" applyFont="1" applyFill="1" applyBorder="1" applyAlignment="1">
      <alignment horizontal="center"/>
    </xf>
    <xf numFmtId="0" fontId="56" fillId="6" borderId="0" xfId="0" applyFont="1" applyFill="1" applyAlignment="1" applyProtection="1">
      <alignment/>
      <protection/>
    </xf>
    <xf numFmtId="0" fontId="57" fillId="6" borderId="0" xfId="0" applyFont="1" applyFill="1" applyAlignment="1">
      <alignment/>
    </xf>
    <xf numFmtId="174" fontId="8" fillId="0" borderId="57" xfId="0" applyNumberFormat="1" applyFont="1" applyBorder="1" applyAlignment="1" applyProtection="1">
      <alignment/>
      <protection/>
    </xf>
    <xf numFmtId="175" fontId="10" fillId="0" borderId="18" xfId="0" applyNumberFormat="1" applyFont="1" applyFill="1" applyBorder="1" applyAlignment="1" applyProtection="1">
      <alignment horizontal="right"/>
      <protection locked="0"/>
    </xf>
    <xf numFmtId="0" fontId="0" fillId="0" borderId="57" xfId="0" applyBorder="1" applyAlignment="1">
      <alignment/>
    </xf>
    <xf numFmtId="192" fontId="53" fillId="6" borderId="19" xfId="0" applyNumberFormat="1" applyFont="1" applyFill="1" applyBorder="1" applyAlignment="1" applyProtection="1">
      <alignment horizontal="left"/>
      <protection/>
    </xf>
    <xf numFmtId="193" fontId="53" fillId="6" borderId="21" xfId="0" applyNumberFormat="1" applyFont="1" applyFill="1" applyBorder="1" applyAlignment="1" applyProtection="1">
      <alignment horizontal="left"/>
      <protection/>
    </xf>
    <xf numFmtId="0" fontId="0" fillId="2" borderId="0" xfId="0" applyFill="1" applyAlignment="1">
      <alignment/>
    </xf>
    <xf numFmtId="0" fontId="12" fillId="0" borderId="0" xfId="0" applyFont="1" applyAlignment="1">
      <alignment horizontal="right"/>
    </xf>
    <xf numFmtId="181" fontId="12" fillId="0" borderId="0" xfId="0" applyNumberFormat="1" applyFont="1" applyFill="1" applyAlignment="1">
      <alignment/>
    </xf>
    <xf numFmtId="181" fontId="0" fillId="0" borderId="0" xfId="0" applyNumberFormat="1" applyAlignment="1">
      <alignment/>
    </xf>
    <xf numFmtId="0" fontId="12" fillId="0" borderId="0" xfId="0" applyFont="1" applyAlignment="1">
      <alignment/>
    </xf>
    <xf numFmtId="0" fontId="58" fillId="0" borderId="0" xfId="0" applyFont="1" applyAlignment="1">
      <alignment/>
    </xf>
    <xf numFmtId="14" fontId="58" fillId="0" borderId="0" xfId="0" applyNumberFormat="1" applyFont="1" applyAlignment="1">
      <alignment horizontal="left"/>
    </xf>
    <xf numFmtId="183" fontId="12" fillId="0" borderId="0" xfId="0" applyNumberFormat="1" applyFont="1" applyFill="1" applyAlignment="1">
      <alignment horizontal="left"/>
    </xf>
    <xf numFmtId="183" fontId="12" fillId="0" borderId="0" xfId="0" applyNumberFormat="1" applyFont="1" applyAlignment="1">
      <alignment horizontal="left"/>
    </xf>
    <xf numFmtId="183" fontId="12" fillId="0" borderId="0" xfId="0" applyNumberFormat="1" applyFont="1" applyAlignment="1">
      <alignment/>
    </xf>
    <xf numFmtId="14" fontId="0" fillId="0" borderId="0" xfId="0" applyNumberFormat="1" applyAlignment="1">
      <alignment/>
    </xf>
    <xf numFmtId="183" fontId="0" fillId="0" borderId="0" xfId="0" applyNumberFormat="1" applyAlignment="1">
      <alignment/>
    </xf>
    <xf numFmtId="183" fontId="12" fillId="0" borderId="0" xfId="0" applyNumberFormat="1" applyFont="1" applyFill="1" applyAlignment="1">
      <alignment/>
    </xf>
    <xf numFmtId="14" fontId="12" fillId="0" borderId="0" xfId="0" applyNumberFormat="1" applyFont="1" applyAlignment="1">
      <alignment/>
    </xf>
    <xf numFmtId="0" fontId="0" fillId="0" borderId="58" xfId="0" applyFont="1" applyBorder="1" applyAlignment="1">
      <alignment/>
    </xf>
    <xf numFmtId="0" fontId="0" fillId="0" borderId="2" xfId="0" applyFont="1" applyBorder="1" applyAlignment="1">
      <alignment/>
    </xf>
    <xf numFmtId="0" fontId="59" fillId="10" borderId="25" xfId="0" applyFont="1" applyFill="1" applyBorder="1" applyAlignment="1">
      <alignment/>
    </xf>
    <xf numFmtId="0" fontId="59" fillId="10" borderId="27" xfId="0" applyFont="1" applyFill="1" applyBorder="1" applyAlignment="1">
      <alignment/>
    </xf>
    <xf numFmtId="0" fontId="8" fillId="0" borderId="57" xfId="0" applyFont="1" applyBorder="1" applyAlignment="1" applyProtection="1">
      <alignment/>
      <protection/>
    </xf>
    <xf numFmtId="0" fontId="8" fillId="3" borderId="57" xfId="0" applyFont="1" applyFill="1" applyBorder="1" applyAlignment="1" applyProtection="1">
      <alignment/>
      <protection/>
    </xf>
    <xf numFmtId="175" fontId="10" fillId="3" borderId="19" xfId="0" applyNumberFormat="1" applyFont="1" applyFill="1" applyBorder="1" applyAlignment="1" applyProtection="1">
      <alignment horizontal="right"/>
      <protection locked="0"/>
    </xf>
    <xf numFmtId="175" fontId="10" fillId="3" borderId="20" xfId="0" applyNumberFormat="1" applyFont="1" applyFill="1" applyBorder="1" applyAlignment="1" applyProtection="1">
      <alignment horizontal="right"/>
      <protection locked="0"/>
    </xf>
    <xf numFmtId="175" fontId="10" fillId="3" borderId="21" xfId="0" applyNumberFormat="1" applyFont="1" applyFill="1" applyBorder="1" applyAlignment="1" applyProtection="1">
      <alignment horizontal="right"/>
      <protection locked="0"/>
    </xf>
    <xf numFmtId="170" fontId="0" fillId="0" borderId="0" xfId="15" applyFont="1" applyAlignment="1">
      <alignment/>
    </xf>
    <xf numFmtId="170" fontId="0" fillId="0" borderId="0" xfId="0" applyNumberFormat="1" applyFont="1" applyAlignment="1">
      <alignment/>
    </xf>
    <xf numFmtId="0" fontId="0" fillId="0" borderId="3" xfId="0" applyBorder="1" applyAlignment="1">
      <alignment/>
    </xf>
    <xf numFmtId="4" fontId="7" fillId="0" borderId="5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0" fillId="0" borderId="6" xfId="0" applyBorder="1" applyAlignment="1">
      <alignment/>
    </xf>
    <xf numFmtId="4" fontId="7" fillId="0" borderId="8" xfId="0" applyNumberFormat="1" applyFont="1" applyBorder="1" applyAlignment="1">
      <alignment/>
    </xf>
    <xf numFmtId="10" fontId="8" fillId="0" borderId="0" xfId="26" applyNumberFormat="1" applyFont="1" applyAlignment="1" applyProtection="1">
      <alignment/>
      <protection/>
    </xf>
    <xf numFmtId="10" fontId="0" fillId="0" borderId="0" xfId="26" applyNumberFormat="1" applyFont="1" applyAlignment="1">
      <alignment/>
    </xf>
    <xf numFmtId="194" fontId="0" fillId="0" borderId="37" xfId="16" applyNumberFormat="1" applyFont="1" applyBorder="1" applyAlignment="1">
      <alignment/>
    </xf>
    <xf numFmtId="179" fontId="0" fillId="0" borderId="41" xfId="0" applyNumberFormat="1" applyFont="1" applyFill="1" applyBorder="1" applyAlignment="1">
      <alignment horizontal="center"/>
    </xf>
    <xf numFmtId="179" fontId="0" fillId="0" borderId="59" xfId="0" applyNumberFormat="1" applyFont="1" applyFill="1" applyBorder="1" applyAlignment="1">
      <alignment horizontal="center"/>
    </xf>
    <xf numFmtId="185" fontId="12" fillId="0" borderId="53" xfId="16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4" fontId="0" fillId="0" borderId="24" xfId="0" applyNumberFormat="1" applyFont="1" applyBorder="1" applyAlignment="1">
      <alignment/>
    </xf>
    <xf numFmtId="0" fontId="0" fillId="0" borderId="9" xfId="0" applyBorder="1" applyAlignment="1">
      <alignment/>
    </xf>
    <xf numFmtId="196" fontId="43" fillId="0" borderId="10" xfId="0" applyNumberFormat="1" applyFont="1" applyFill="1" applyBorder="1" applyAlignment="1">
      <alignment horizontal="center"/>
    </xf>
    <xf numFmtId="196" fontId="43" fillId="0" borderId="46" xfId="0" applyNumberFormat="1" applyFont="1" applyFill="1" applyBorder="1" applyAlignment="1">
      <alignment horizontal="center"/>
    </xf>
    <xf numFmtId="0" fontId="0" fillId="0" borderId="36" xfId="0" applyBorder="1" applyAlignment="1">
      <alignment/>
    </xf>
    <xf numFmtId="16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16" fontId="0" fillId="0" borderId="13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0" fontId="4" fillId="0" borderId="0" xfId="15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60" fillId="0" borderId="0" xfId="0" applyFont="1" applyAlignment="1">
      <alignment/>
    </xf>
    <xf numFmtId="0" fontId="53" fillId="11" borderId="1" xfId="25" applyFont="1" applyFill="1" applyBorder="1" applyAlignment="1" applyProtection="1">
      <alignment horizontal="center"/>
      <protection locked="0"/>
    </xf>
    <xf numFmtId="0" fontId="0" fillId="0" borderId="0" xfId="25" applyFont="1" applyAlignment="1">
      <alignment/>
      <protection/>
    </xf>
    <xf numFmtId="0" fontId="1" fillId="0" borderId="0" xfId="25" applyAlignment="1">
      <alignment/>
      <protection/>
    </xf>
    <xf numFmtId="0" fontId="12" fillId="0" borderId="0" xfId="25" applyFont="1" applyAlignment="1">
      <alignment horizontal="left" vertical="top"/>
      <protection/>
    </xf>
    <xf numFmtId="3" fontId="12" fillId="0" borderId="0" xfId="25" applyNumberFormat="1" applyFont="1" applyAlignment="1">
      <alignment horizontal="left" vertical="top"/>
      <protection/>
    </xf>
    <xf numFmtId="10" fontId="0" fillId="0" borderId="0" xfId="25" applyNumberFormat="1" applyFont="1" applyAlignment="1">
      <alignment/>
      <protection/>
    </xf>
    <xf numFmtId="198" fontId="12" fillId="0" borderId="0" xfId="25" applyNumberFormat="1" applyFont="1" applyAlignment="1">
      <alignment horizontal="right" vertical="top"/>
      <protection/>
    </xf>
    <xf numFmtId="197" fontId="62" fillId="12" borderId="0" xfId="25" applyNumberFormat="1" applyFont="1" applyFill="1" applyAlignment="1">
      <alignment horizontal="left"/>
      <protection/>
    </xf>
    <xf numFmtId="179" fontId="1" fillId="0" borderId="0" xfId="25" applyNumberFormat="1" applyAlignment="1">
      <alignment/>
      <protection/>
    </xf>
    <xf numFmtId="0" fontId="1" fillId="0" borderId="12" xfId="25" applyBorder="1" applyAlignment="1">
      <alignment/>
      <protection/>
    </xf>
    <xf numFmtId="0" fontId="1" fillId="0" borderId="28" xfId="25" applyBorder="1" applyAlignment="1">
      <alignment/>
      <protection/>
    </xf>
    <xf numFmtId="0" fontId="1" fillId="0" borderId="2" xfId="25" applyBorder="1" applyAlignment="1">
      <alignment/>
      <protection/>
    </xf>
    <xf numFmtId="179" fontId="1" fillId="0" borderId="1" xfId="25" applyNumberFormat="1" applyBorder="1" applyAlignment="1">
      <alignment/>
      <protection/>
    </xf>
    <xf numFmtId="182" fontId="4" fillId="0" borderId="0" xfId="26" applyNumberFormat="1" applyFont="1" applyAlignment="1">
      <alignment/>
    </xf>
    <xf numFmtId="0" fontId="3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170" fontId="0" fillId="0" borderId="46" xfId="15" applyFill="1" applyBorder="1" applyAlignment="1">
      <alignment/>
    </xf>
    <xf numFmtId="183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/>
    </xf>
    <xf numFmtId="4" fontId="4" fillId="0" borderId="13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8" borderId="0" xfId="0" applyFill="1" applyAlignment="1">
      <alignment/>
    </xf>
    <xf numFmtId="4" fontId="0" fillId="8" borderId="0" xfId="0" applyNumberFormat="1" applyFill="1" applyAlignment="1">
      <alignment/>
    </xf>
    <xf numFmtId="2" fontId="12" fillId="0" borderId="0" xfId="0" applyNumberFormat="1" applyFont="1" applyAlignment="1">
      <alignment/>
    </xf>
    <xf numFmtId="0" fontId="0" fillId="12" borderId="0" xfId="0" applyFill="1" applyAlignment="1">
      <alignment/>
    </xf>
    <xf numFmtId="4" fontId="0" fillId="12" borderId="0" xfId="0" applyNumberFormat="1" applyFill="1" applyAlignment="1">
      <alignment/>
    </xf>
    <xf numFmtId="175" fontId="0" fillId="0" borderId="0" xfId="0" applyNumberFormat="1" applyAlignment="1">
      <alignment/>
    </xf>
    <xf numFmtId="0" fontId="12" fillId="0" borderId="25" xfId="0" applyFont="1" applyBorder="1" applyAlignment="1">
      <alignment/>
    </xf>
    <xf numFmtId="4" fontId="12" fillId="0" borderId="27" xfId="0" applyNumberFormat="1" applyFont="1" applyBorder="1" applyAlignment="1">
      <alignment/>
    </xf>
    <xf numFmtId="0" fontId="65" fillId="0" borderId="61" xfId="0" applyFont="1" applyBorder="1" applyAlignment="1">
      <alignment horizontal="center" vertical="top"/>
    </xf>
    <xf numFmtId="0" fontId="65" fillId="0" borderId="62" xfId="0" applyFont="1" applyBorder="1" applyAlignment="1">
      <alignment horizontal="center" vertical="top"/>
    </xf>
    <xf numFmtId="0" fontId="65" fillId="0" borderId="63" xfId="0" applyFont="1" applyBorder="1" applyAlignment="1">
      <alignment horizontal="center" vertical="top"/>
    </xf>
    <xf numFmtId="0" fontId="65" fillId="0" borderId="64" xfId="0" applyFont="1" applyBorder="1" applyAlignment="1">
      <alignment horizontal="center" vertical="top"/>
    </xf>
    <xf numFmtId="0" fontId="65" fillId="0" borderId="65" xfId="0" applyFont="1" applyBorder="1" applyAlignment="1">
      <alignment horizontal="center" vertical="top"/>
    </xf>
    <xf numFmtId="0" fontId="66" fillId="0" borderId="62" xfId="0" applyFont="1" applyBorder="1" applyAlignment="1">
      <alignment horizontal="center" vertical="top"/>
    </xf>
    <xf numFmtId="179" fontId="66" fillId="0" borderId="63" xfId="0" applyNumberFormat="1" applyFont="1" applyBorder="1" applyAlignment="1">
      <alignment horizontal="center" vertical="top"/>
    </xf>
    <xf numFmtId="179" fontId="66" fillId="0" borderId="65" xfId="0" applyNumberFormat="1" applyFont="1" applyBorder="1" applyAlignment="1">
      <alignment horizontal="center" vertical="top"/>
    </xf>
    <xf numFmtId="14" fontId="67" fillId="6" borderId="3" xfId="0" applyNumberFormat="1" applyFont="1" applyFill="1" applyBorder="1" applyAlignment="1" applyProtection="1">
      <alignment/>
      <protection/>
    </xf>
    <xf numFmtId="14" fontId="67" fillId="6" borderId="5" xfId="0" applyNumberFormat="1" applyFont="1" applyFill="1" applyBorder="1" applyAlignment="1" applyProtection="1">
      <alignment/>
      <protection/>
    </xf>
    <xf numFmtId="14" fontId="67" fillId="6" borderId="6" xfId="0" applyNumberFormat="1" applyFont="1" applyFill="1" applyBorder="1" applyAlignment="1" applyProtection="1">
      <alignment/>
      <protection/>
    </xf>
    <xf numFmtId="14" fontId="67" fillId="6" borderId="8" xfId="0" applyNumberFormat="1" applyFont="1" applyFill="1" applyBorder="1" applyAlignment="1" applyProtection="1">
      <alignment/>
      <protection/>
    </xf>
    <xf numFmtId="4" fontId="24" fillId="6" borderId="13" xfId="0" applyNumberFormat="1" applyFont="1" applyFill="1" applyBorder="1" applyAlignment="1" applyProtection="1">
      <alignment/>
      <protection/>
    </xf>
    <xf numFmtId="182" fontId="24" fillId="6" borderId="13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47" fillId="3" borderId="12" xfId="0" applyFont="1" applyFill="1" applyBorder="1" applyAlignment="1">
      <alignment/>
    </xf>
    <xf numFmtId="4" fontId="54" fillId="6" borderId="18" xfId="0" applyNumberFormat="1" applyFont="1" applyFill="1" applyBorder="1" applyAlignment="1">
      <alignment/>
    </xf>
    <xf numFmtId="0" fontId="68" fillId="0" borderId="25" xfId="0" applyFont="1" applyBorder="1" applyAlignment="1" applyProtection="1">
      <alignment horizontal="right"/>
      <protection/>
    </xf>
    <xf numFmtId="0" fontId="68" fillId="0" borderId="26" xfId="0" applyFont="1" applyBorder="1" applyAlignment="1" applyProtection="1">
      <alignment/>
      <protection/>
    </xf>
    <xf numFmtId="179" fontId="30" fillId="4" borderId="18" xfId="26" applyNumberFormat="1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4" fontId="69" fillId="0" borderId="0" xfId="0" applyNumberFormat="1" applyFont="1" applyAlignment="1">
      <alignment/>
    </xf>
    <xf numFmtId="0" fontId="69" fillId="0" borderId="0" xfId="0" applyFont="1" applyAlignment="1">
      <alignment/>
    </xf>
    <xf numFmtId="4" fontId="8" fillId="2" borderId="18" xfId="0" applyNumberFormat="1" applyFont="1" applyFill="1" applyBorder="1" applyAlignment="1" applyProtection="1">
      <alignment horizontal="center"/>
      <protection/>
    </xf>
    <xf numFmtId="4" fontId="24" fillId="6" borderId="18" xfId="0" applyNumberFormat="1" applyFont="1" applyFill="1" applyBorder="1" applyAlignment="1" applyProtection="1">
      <alignment horizontal="center"/>
      <protection/>
    </xf>
    <xf numFmtId="4" fontId="18" fillId="2" borderId="49" xfId="0" applyNumberFormat="1" applyFont="1" applyFill="1" applyBorder="1" applyAlignment="1" applyProtection="1">
      <alignment/>
      <protection/>
    </xf>
    <xf numFmtId="0" fontId="19" fillId="0" borderId="50" xfId="0" applyFont="1" applyBorder="1" applyAlignment="1" applyProtection="1">
      <alignment horizontal="left"/>
      <protection/>
    </xf>
    <xf numFmtId="0" fontId="0" fillId="0" borderId="50" xfId="0" applyBorder="1" applyAlignment="1">
      <alignment/>
    </xf>
    <xf numFmtId="0" fontId="0" fillId="0" borderId="53" xfId="0" applyBorder="1" applyAlignment="1">
      <alignment/>
    </xf>
    <xf numFmtId="4" fontId="18" fillId="2" borderId="22" xfId="0" applyNumberFormat="1" applyFont="1" applyFill="1" applyBorder="1" applyAlignment="1" applyProtection="1">
      <alignment/>
      <protection/>
    </xf>
    <xf numFmtId="176" fontId="51" fillId="0" borderId="0" xfId="0" applyNumberFormat="1" applyFont="1" applyBorder="1" applyAlignment="1" applyProtection="1">
      <alignment horizontal="left"/>
      <protection/>
    </xf>
    <xf numFmtId="4" fontId="18" fillId="2" borderId="51" xfId="0" applyNumberFormat="1" applyFont="1" applyFill="1" applyBorder="1" applyAlignment="1">
      <alignment/>
    </xf>
    <xf numFmtId="0" fontId="51" fillId="0" borderId="52" xfId="0" applyFont="1" applyBorder="1" applyAlignment="1" applyProtection="1">
      <alignment horizontal="left"/>
      <protection/>
    </xf>
    <xf numFmtId="0" fontId="0" fillId="0" borderId="52" xfId="0" applyBorder="1" applyAlignment="1">
      <alignment/>
    </xf>
    <xf numFmtId="0" fontId="0" fillId="0" borderId="60" xfId="0" applyBorder="1" applyAlignment="1">
      <alignment/>
    </xf>
    <xf numFmtId="4" fontId="53" fillId="9" borderId="25" xfId="0" applyNumberFormat="1" applyFont="1" applyFill="1" applyBorder="1" applyAlignment="1" quotePrefix="1">
      <alignment/>
    </xf>
    <xf numFmtId="0" fontId="57" fillId="13" borderId="0" xfId="0" applyFont="1" applyFill="1" applyAlignment="1">
      <alignment/>
    </xf>
    <xf numFmtId="0" fontId="70" fillId="13" borderId="31" xfId="0" applyFont="1" applyFill="1" applyBorder="1" applyAlignment="1">
      <alignment/>
    </xf>
    <xf numFmtId="0" fontId="53" fillId="10" borderId="25" xfId="0" applyFont="1" applyFill="1" applyBorder="1" applyAlignment="1">
      <alignment horizontal="center"/>
    </xf>
    <xf numFmtId="170" fontId="0" fillId="0" borderId="27" xfId="15" applyFont="1" applyFill="1" applyBorder="1" applyAlignment="1">
      <alignment horizontal="center"/>
    </xf>
    <xf numFmtId="0" fontId="73" fillId="0" borderId="0" xfId="0" applyFont="1" applyAlignment="1">
      <alignment/>
    </xf>
    <xf numFmtId="0" fontId="75" fillId="0" borderId="0" xfId="0" applyFont="1" applyAlignment="1">
      <alignment/>
    </xf>
    <xf numFmtId="188" fontId="12" fillId="0" borderId="46" xfId="0" applyNumberFormat="1" applyFont="1" applyBorder="1" applyAlignment="1">
      <alignment horizontal="center" wrapText="1"/>
    </xf>
    <xf numFmtId="10" fontId="0" fillId="0" borderId="37" xfId="0" applyNumberFormat="1" applyFont="1" applyFill="1" applyBorder="1" applyAlignment="1">
      <alignment horizontal="center" wrapText="1"/>
    </xf>
    <xf numFmtId="190" fontId="43" fillId="0" borderId="45" xfId="0" applyNumberFormat="1" applyFont="1" applyBorder="1" applyAlignment="1">
      <alignment horizontal="center" wrapText="1"/>
    </xf>
    <xf numFmtId="190" fontId="12" fillId="0" borderId="45" xfId="0" applyNumberFormat="1" applyFont="1" applyBorder="1" applyAlignment="1">
      <alignment horizontal="center" wrapText="1"/>
    </xf>
    <xf numFmtId="0" fontId="20" fillId="8" borderId="0" xfId="0" applyFont="1" applyFill="1" applyAlignment="1">
      <alignment/>
    </xf>
    <xf numFmtId="4" fontId="20" fillId="8" borderId="0" xfId="0" applyNumberFormat="1" applyFont="1" applyFill="1" applyAlignment="1">
      <alignment/>
    </xf>
    <xf numFmtId="0" fontId="0" fillId="8" borderId="66" xfId="0" applyFont="1" applyFill="1" applyBorder="1" applyAlignment="1">
      <alignment/>
    </xf>
    <xf numFmtId="0" fontId="0" fillId="8" borderId="67" xfId="0" applyFont="1" applyFill="1" applyBorder="1" applyAlignment="1">
      <alignment/>
    </xf>
    <xf numFmtId="4" fontId="0" fillId="8" borderId="68" xfId="0" applyNumberFormat="1" applyFont="1" applyFill="1" applyBorder="1" applyAlignment="1">
      <alignment/>
    </xf>
    <xf numFmtId="0" fontId="0" fillId="8" borderId="69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4" fontId="0" fillId="8" borderId="70" xfId="0" applyNumberFormat="1" applyFont="1" applyFill="1" applyBorder="1" applyAlignment="1">
      <alignment/>
    </xf>
    <xf numFmtId="4" fontId="12" fillId="8" borderId="71" xfId="0" applyNumberFormat="1" applyFont="1" applyFill="1" applyBorder="1" applyAlignment="1">
      <alignment/>
    </xf>
    <xf numFmtId="0" fontId="53" fillId="10" borderId="72" xfId="0" applyFont="1" applyFill="1" applyBorder="1" applyAlignment="1">
      <alignment horizontal="center"/>
    </xf>
    <xf numFmtId="170" fontId="0" fillId="0" borderId="0" xfId="15" applyFont="1" applyFill="1" applyBorder="1" applyAlignment="1">
      <alignment horizontal="center"/>
    </xf>
    <xf numFmtId="16" fontId="0" fillId="0" borderId="1" xfId="0" applyNumberFormat="1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4" fontId="69" fillId="0" borderId="25" xfId="0" applyNumberFormat="1" applyFont="1" applyBorder="1" applyAlignment="1">
      <alignment/>
    </xf>
    <xf numFmtId="170" fontId="69" fillId="0" borderId="27" xfId="15" applyFont="1" applyBorder="1" applyAlignment="1">
      <alignment/>
    </xf>
    <xf numFmtId="10" fontId="4" fillId="0" borderId="19" xfId="26" applyNumberFormat="1" applyFont="1" applyBorder="1" applyAlignment="1">
      <alignment/>
    </xf>
    <xf numFmtId="10" fontId="4" fillId="0" borderId="20" xfId="26" applyNumberFormat="1" applyFont="1" applyBorder="1" applyAlignment="1">
      <alignment/>
    </xf>
    <xf numFmtId="10" fontId="4" fillId="0" borderId="21" xfId="26" applyNumberFormat="1" applyFont="1" applyBorder="1" applyAlignment="1">
      <alignment/>
    </xf>
    <xf numFmtId="17" fontId="0" fillId="0" borderId="3" xfId="0" applyNumberFormat="1" applyBorder="1" applyAlignment="1">
      <alignment/>
    </xf>
    <xf numFmtId="0" fontId="26" fillId="0" borderId="4" xfId="0" applyFont="1" applyBorder="1" applyAlignment="1">
      <alignment/>
    </xf>
    <xf numFmtId="17" fontId="0" fillId="0" borderId="6" xfId="0" applyNumberFormat="1" applyBorder="1" applyAlignment="1">
      <alignment/>
    </xf>
    <xf numFmtId="0" fontId="26" fillId="0" borderId="7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2" xfId="0" applyNumberFormat="1" applyFill="1" applyBorder="1" applyAlignment="1">
      <alignment/>
    </xf>
    <xf numFmtId="0" fontId="0" fillId="6" borderId="0" xfId="0" applyFont="1" applyFill="1" applyAlignment="1">
      <alignment/>
    </xf>
    <xf numFmtId="4" fontId="0" fillId="0" borderId="1" xfId="0" applyNumberFormat="1" applyFont="1" applyBorder="1" applyAlignment="1">
      <alignment/>
    </xf>
    <xf numFmtId="0" fontId="51" fillId="0" borderId="0" xfId="0" applyFont="1" applyBorder="1" applyAlignment="1" applyProtection="1">
      <alignment horizontal="left"/>
      <protection/>
    </xf>
    <xf numFmtId="4" fontId="18" fillId="2" borderId="18" xfId="0" applyNumberFormat="1" applyFont="1" applyFill="1" applyBorder="1" applyAlignment="1" applyProtection="1">
      <alignment/>
      <protection/>
    </xf>
    <xf numFmtId="4" fontId="18" fillId="2" borderId="18" xfId="0" applyNumberFormat="1" applyFont="1" applyFill="1" applyBorder="1" applyAlignment="1">
      <alignment/>
    </xf>
    <xf numFmtId="170" fontId="17" fillId="0" borderId="0" xfId="15" applyFont="1" applyAlignment="1" applyProtection="1">
      <alignment/>
      <protection/>
    </xf>
    <xf numFmtId="170" fontId="17" fillId="0" borderId="0" xfId="0" applyNumberFormat="1" applyFont="1" applyAlignment="1" applyProtection="1">
      <alignment/>
      <protection/>
    </xf>
    <xf numFmtId="0" fontId="53" fillId="10" borderId="72" xfId="0" applyFont="1" applyFill="1" applyBorder="1" applyAlignment="1">
      <alignment horizontal="center" vertical="center" wrapText="1"/>
    </xf>
    <xf numFmtId="0" fontId="53" fillId="10" borderId="76" xfId="0" applyFont="1" applyFill="1" applyBorder="1" applyAlignment="1">
      <alignment horizontal="center"/>
    </xf>
    <xf numFmtId="17" fontId="53" fillId="10" borderId="76" xfId="0" applyNumberFormat="1" applyFont="1" applyFill="1" applyBorder="1" applyAlignment="1">
      <alignment horizontal="center"/>
    </xf>
    <xf numFmtId="179" fontId="0" fillId="0" borderId="35" xfId="0" applyNumberFormat="1" applyBorder="1" applyAlignment="1">
      <alignment horizontal="center"/>
    </xf>
    <xf numFmtId="179" fontId="0" fillId="0" borderId="3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37" xfId="0" applyNumberFormat="1" applyBorder="1" applyAlignment="1">
      <alignment horizontal="center"/>
    </xf>
    <xf numFmtId="0" fontId="12" fillId="0" borderId="39" xfId="0" applyFont="1" applyBorder="1" applyAlignment="1">
      <alignment/>
    </xf>
    <xf numFmtId="179" fontId="0" fillId="0" borderId="40" xfId="0" applyNumberFormat="1" applyBorder="1" applyAlignment="1">
      <alignment horizontal="center"/>
    </xf>
    <xf numFmtId="179" fontId="0" fillId="0" borderId="41" xfId="0" applyNumberForma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170" fontId="4" fillId="0" borderId="33" xfId="15" applyFont="1" applyFill="1" applyBorder="1" applyAlignment="1">
      <alignment horizontal="left"/>
    </xf>
    <xf numFmtId="0" fontId="4" fillId="0" borderId="36" xfId="0" applyFont="1" applyBorder="1" applyAlignment="1">
      <alignment/>
    </xf>
    <xf numFmtId="0" fontId="4" fillId="0" borderId="1" xfId="0" applyFont="1" applyBorder="1" applyAlignment="1">
      <alignment/>
    </xf>
    <xf numFmtId="170" fontId="4" fillId="0" borderId="37" xfId="15" applyFont="1" applyFill="1" applyBorder="1" applyAlignment="1">
      <alignment horizontal="left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170" fontId="4" fillId="0" borderId="41" xfId="15" applyFont="1" applyFill="1" applyBorder="1" applyAlignment="1">
      <alignment horizontal="left"/>
    </xf>
    <xf numFmtId="0" fontId="4" fillId="0" borderId="43" xfId="0" applyFont="1" applyBorder="1" applyAlignment="1">
      <alignment/>
    </xf>
    <xf numFmtId="0" fontId="4" fillId="0" borderId="77" xfId="0" applyFont="1" applyBorder="1" applyAlignment="1">
      <alignment/>
    </xf>
    <xf numFmtId="170" fontId="4" fillId="0" borderId="47" xfId="15" applyFont="1" applyFill="1" applyBorder="1" applyAlignment="1">
      <alignment horizontal="left"/>
    </xf>
    <xf numFmtId="0" fontId="4" fillId="0" borderId="36" xfId="0" applyFont="1" applyBorder="1" applyAlignment="1">
      <alignment/>
    </xf>
    <xf numFmtId="0" fontId="4" fillId="0" borderId="2" xfId="0" applyFont="1" applyBorder="1" applyAlignment="1">
      <alignment/>
    </xf>
    <xf numFmtId="170" fontId="4" fillId="0" borderId="78" xfId="15" applyFont="1" applyFill="1" applyBorder="1" applyAlignment="1">
      <alignment horizontal="left"/>
    </xf>
    <xf numFmtId="0" fontId="4" fillId="0" borderId="79" xfId="0" applyFont="1" applyBorder="1" applyAlignment="1">
      <alignment/>
    </xf>
    <xf numFmtId="0" fontId="4" fillId="0" borderId="80" xfId="0" applyFont="1" applyBorder="1" applyAlignment="1">
      <alignment/>
    </xf>
    <xf numFmtId="170" fontId="4" fillId="0" borderId="65" xfId="15" applyFont="1" applyFill="1" applyBorder="1" applyAlignment="1">
      <alignment horizontal="left"/>
    </xf>
    <xf numFmtId="0" fontId="4" fillId="0" borderId="0" xfId="0" applyFont="1" applyAlignment="1">
      <alignment/>
    </xf>
    <xf numFmtId="0" fontId="12" fillId="0" borderId="55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12" fillId="0" borderId="81" xfId="0" applyFont="1" applyBorder="1" applyAlignment="1">
      <alignment/>
    </xf>
    <xf numFmtId="185" fontId="0" fillId="0" borderId="82" xfId="16" applyFont="1" applyBorder="1" applyAlignment="1">
      <alignment/>
    </xf>
    <xf numFmtId="185" fontId="0" fillId="0" borderId="78" xfId="16" applyFont="1" applyBorder="1" applyAlignment="1">
      <alignment/>
    </xf>
    <xf numFmtId="185" fontId="0" fillId="0" borderId="78" xfId="16" applyFont="1" applyFill="1" applyBorder="1" applyAlignment="1">
      <alignment/>
    </xf>
    <xf numFmtId="170" fontId="0" fillId="0" borderId="78" xfId="15" applyFont="1" applyBorder="1" applyAlignment="1">
      <alignment/>
    </xf>
    <xf numFmtId="0" fontId="12" fillId="0" borderId="83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48" xfId="0" applyFont="1" applyFill="1" applyBorder="1" applyAlignment="1">
      <alignment/>
    </xf>
    <xf numFmtId="195" fontId="0" fillId="0" borderId="47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0" fontId="0" fillId="0" borderId="85" xfId="0" applyFont="1" applyFill="1" applyBorder="1" applyAlignment="1">
      <alignment/>
    </xf>
    <xf numFmtId="4" fontId="0" fillId="0" borderId="86" xfId="0" applyNumberFormat="1" applyFont="1" applyBorder="1" applyAlignment="1">
      <alignment/>
    </xf>
    <xf numFmtId="10" fontId="0" fillId="0" borderId="47" xfId="26" applyNumberFormat="1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87" xfId="0" applyFont="1" applyBorder="1" applyAlignment="1">
      <alignment horizontal="left"/>
    </xf>
    <xf numFmtId="0" fontId="0" fillId="0" borderId="88" xfId="0" applyFont="1" applyBorder="1" applyAlignment="1">
      <alignment/>
    </xf>
    <xf numFmtId="0" fontId="0" fillId="0" borderId="65" xfId="0" applyFont="1" applyBorder="1" applyAlignment="1">
      <alignment horizontal="center"/>
    </xf>
    <xf numFmtId="170" fontId="0" fillId="0" borderId="47" xfId="15" applyFont="1" applyBorder="1" applyAlignment="1">
      <alignment horizontal="right"/>
    </xf>
    <xf numFmtId="0" fontId="70" fillId="13" borderId="89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18" xfId="0" applyFont="1" applyBorder="1" applyAlignment="1">
      <alignment/>
    </xf>
    <xf numFmtId="0" fontId="81" fillId="0" borderId="0" xfId="0" applyFont="1" applyAlignment="1">
      <alignment/>
    </xf>
    <xf numFmtId="180" fontId="0" fillId="0" borderId="0" xfId="20" applyNumberFormat="1" applyFont="1" applyFill="1" applyBorder="1" applyAlignment="1">
      <alignment horizontal="center"/>
    </xf>
    <xf numFmtId="0" fontId="81" fillId="0" borderId="0" xfId="0" applyFont="1" applyBorder="1" applyAlignment="1">
      <alignment/>
    </xf>
    <xf numFmtId="0" fontId="20" fillId="0" borderId="0" xfId="0" applyFont="1" applyBorder="1" applyAlignment="1">
      <alignment/>
    </xf>
    <xf numFmtId="180" fontId="0" fillId="0" borderId="47" xfId="20" applyNumberFormat="1" applyFont="1" applyFill="1" applyBorder="1" applyAlignment="1">
      <alignment horizontal="center"/>
    </xf>
    <xf numFmtId="10" fontId="0" fillId="0" borderId="81" xfId="26" applyNumberFormat="1" applyFont="1" applyFill="1" applyBorder="1" applyAlignment="1">
      <alignment horizontal="center"/>
    </xf>
    <xf numFmtId="10" fontId="0" fillId="0" borderId="2" xfId="26" applyNumberFormat="1" applyFont="1" applyFill="1" applyBorder="1" applyAlignment="1">
      <alignment horizontal="center"/>
    </xf>
    <xf numFmtId="170" fontId="0" fillId="0" borderId="3" xfId="15" applyFont="1" applyFill="1" applyBorder="1" applyAlignment="1">
      <alignment/>
    </xf>
    <xf numFmtId="10" fontId="0" fillId="0" borderId="4" xfId="26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10" fontId="0" fillId="0" borderId="90" xfId="26" applyNumberFormat="1" applyFont="1" applyFill="1" applyBorder="1" applyAlignment="1">
      <alignment/>
    </xf>
    <xf numFmtId="170" fontId="0" fillId="0" borderId="13" xfId="15" applyFont="1" applyFill="1" applyBorder="1" applyAlignment="1">
      <alignment/>
    </xf>
    <xf numFmtId="10" fontId="0" fillId="0" borderId="0" xfId="26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0" fontId="0" fillId="0" borderId="47" xfId="26" applyNumberFormat="1" applyFont="1" applyFill="1" applyBorder="1" applyAlignment="1">
      <alignment/>
    </xf>
    <xf numFmtId="10" fontId="0" fillId="0" borderId="2" xfId="26" applyNumberFormat="1" applyFont="1" applyFill="1" applyBorder="1" applyAlignment="1" quotePrefix="1">
      <alignment horizontal="center"/>
    </xf>
    <xf numFmtId="170" fontId="0" fillId="0" borderId="91" xfId="15" applyFont="1" applyFill="1" applyBorder="1" applyAlignment="1">
      <alignment/>
    </xf>
    <xf numFmtId="10" fontId="0" fillId="0" borderId="88" xfId="26" applyNumberFormat="1" applyFont="1" applyFill="1" applyBorder="1" applyAlignment="1">
      <alignment/>
    </xf>
    <xf numFmtId="3" fontId="0" fillId="0" borderId="88" xfId="0" applyNumberFormat="1" applyFont="1" applyFill="1" applyBorder="1" applyAlignment="1">
      <alignment/>
    </xf>
    <xf numFmtId="10" fontId="0" fillId="0" borderId="65" xfId="26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10" fontId="12" fillId="0" borderId="0" xfId="26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8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77" fillId="10" borderId="76" xfId="0" applyFont="1" applyFill="1" applyBorder="1" applyAlignment="1">
      <alignment horizontal="center"/>
    </xf>
    <xf numFmtId="180" fontId="77" fillId="10" borderId="76" xfId="20" applyNumberFormat="1" applyFont="1" applyFill="1" applyBorder="1" applyAlignment="1">
      <alignment horizontal="center"/>
    </xf>
    <xf numFmtId="0" fontId="53" fillId="10" borderId="76" xfId="0" applyFont="1" applyFill="1" applyBorder="1" applyAlignment="1">
      <alignment horizontal="center" vertical="center" wrapText="1"/>
    </xf>
    <xf numFmtId="180" fontId="53" fillId="10" borderId="76" xfId="20" applyNumberFormat="1" applyFont="1" applyFill="1" applyBorder="1" applyAlignment="1">
      <alignment horizontal="center" vertical="center" wrapText="1"/>
    </xf>
    <xf numFmtId="10" fontId="0" fillId="0" borderId="81" xfId="26" applyNumberFormat="1" applyFont="1" applyBorder="1" applyAlignment="1">
      <alignment horizontal="center"/>
    </xf>
    <xf numFmtId="10" fontId="0" fillId="0" borderId="2" xfId="26" applyNumberFormat="1" applyFont="1" applyBorder="1" applyAlignment="1">
      <alignment horizontal="center"/>
    </xf>
    <xf numFmtId="170" fontId="0" fillId="0" borderId="3" xfId="15" applyFont="1" applyBorder="1" applyAlignment="1">
      <alignment/>
    </xf>
    <xf numFmtId="10" fontId="0" fillId="0" borderId="4" xfId="26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10" fontId="0" fillId="0" borderId="90" xfId="26" applyNumberFormat="1" applyFont="1" applyBorder="1" applyAlignment="1">
      <alignment/>
    </xf>
    <xf numFmtId="170" fontId="0" fillId="0" borderId="13" xfId="15" applyFont="1" applyBorder="1" applyAlignment="1">
      <alignment/>
    </xf>
    <xf numFmtId="10" fontId="0" fillId="0" borderId="0" xfId="26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0" fontId="0" fillId="0" borderId="91" xfId="15" applyFont="1" applyBorder="1" applyAlignment="1">
      <alignment/>
    </xf>
    <xf numFmtId="10" fontId="0" fillId="0" borderId="88" xfId="26" applyNumberFormat="1" applyFont="1" applyBorder="1" applyAlignment="1">
      <alignment/>
    </xf>
    <xf numFmtId="3" fontId="0" fillId="0" borderId="88" xfId="0" applyNumberFormat="1" applyFont="1" applyBorder="1" applyAlignment="1">
      <alignment/>
    </xf>
    <xf numFmtId="10" fontId="0" fillId="0" borderId="65" xfId="26" applyNumberFormat="1" applyFont="1" applyBorder="1" applyAlignment="1">
      <alignment/>
    </xf>
    <xf numFmtId="170" fontId="12" fillId="0" borderId="0" xfId="15" applyFont="1" applyAlignment="1">
      <alignment/>
    </xf>
    <xf numFmtId="10" fontId="12" fillId="0" borderId="0" xfId="26" applyNumberFormat="1" applyFont="1" applyAlignment="1">
      <alignment/>
    </xf>
    <xf numFmtId="3" fontId="12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170" fontId="0" fillId="0" borderId="0" xfId="15" applyFont="1" applyBorder="1" applyAlignment="1">
      <alignment/>
    </xf>
    <xf numFmtId="200" fontId="0" fillId="0" borderId="45" xfId="26" applyNumberFormat="1" applyFont="1" applyBorder="1" applyAlignment="1">
      <alignment/>
    </xf>
    <xf numFmtId="200" fontId="0" fillId="0" borderId="56" xfId="26" applyNumberFormat="1" applyFont="1" applyBorder="1" applyAlignment="1">
      <alignment/>
    </xf>
    <xf numFmtId="170" fontId="0" fillId="0" borderId="88" xfId="15" applyFont="1" applyBorder="1" applyAlignment="1" quotePrefix="1">
      <alignment/>
    </xf>
    <xf numFmtId="200" fontId="0" fillId="0" borderId="92" xfId="26" applyNumberFormat="1" applyFont="1" applyBorder="1" applyAlignment="1" quotePrefix="1">
      <alignment/>
    </xf>
    <xf numFmtId="0" fontId="82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79" fontId="0" fillId="0" borderId="12" xfId="0" applyNumberFormat="1" applyBorder="1" applyAlignment="1">
      <alignment horizontal="center"/>
    </xf>
    <xf numFmtId="17" fontId="53" fillId="10" borderId="93" xfId="0" applyNumberFormat="1" applyFont="1" applyFill="1" applyBorder="1" applyAlignment="1">
      <alignment horizontal="center"/>
    </xf>
    <xf numFmtId="179" fontId="0" fillId="0" borderId="94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" fontId="53" fillId="10" borderId="95" xfId="0" applyNumberFormat="1" applyFont="1" applyFill="1" applyBorder="1" applyAlignment="1">
      <alignment horizontal="center"/>
    </xf>
    <xf numFmtId="175" fontId="56" fillId="14" borderId="0" xfId="0" applyNumberFormat="1" applyFont="1" applyFill="1" applyAlignment="1" applyProtection="1">
      <alignment/>
      <protection/>
    </xf>
    <xf numFmtId="170" fontId="8" fillId="0" borderId="0" xfId="15" applyFont="1" applyAlignment="1" applyProtection="1">
      <alignment/>
      <protection/>
    </xf>
    <xf numFmtId="170" fontId="8" fillId="0" borderId="0" xfId="0" applyNumberFormat="1" applyFont="1" applyAlignment="1" applyProtection="1">
      <alignment/>
      <protection/>
    </xf>
    <xf numFmtId="0" fontId="70" fillId="13" borderId="96" xfId="0" applyFont="1" applyFill="1" applyBorder="1" applyAlignment="1">
      <alignment/>
    </xf>
    <xf numFmtId="0" fontId="70" fillId="13" borderId="97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49" xfId="0" applyFont="1" applyBorder="1" applyAlignment="1">
      <alignment/>
    </xf>
    <xf numFmtId="4" fontId="0" fillId="0" borderId="53" xfId="0" applyNumberFormat="1" applyFont="1" applyBorder="1" applyAlignment="1">
      <alignment/>
    </xf>
    <xf numFmtId="4" fontId="12" fillId="0" borderId="24" xfId="0" applyNumberFormat="1" applyFont="1" applyBorder="1" applyAlignment="1">
      <alignment/>
    </xf>
    <xf numFmtId="170" fontId="12" fillId="0" borderId="24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0" fillId="0" borderId="51" xfId="0" applyFont="1" applyBorder="1" applyAlignment="1">
      <alignment/>
    </xf>
    <xf numFmtId="170" fontId="12" fillId="15" borderId="24" xfId="0" applyNumberFormat="1" applyFont="1" applyFill="1" applyBorder="1" applyAlignment="1">
      <alignment/>
    </xf>
    <xf numFmtId="0" fontId="0" fillId="15" borderId="22" xfId="0" applyFont="1" applyFill="1" applyBorder="1" applyAlignment="1">
      <alignment/>
    </xf>
    <xf numFmtId="0" fontId="0" fillId="15" borderId="0" xfId="0" applyFont="1" applyFill="1" applyBorder="1" applyAlignment="1">
      <alignment/>
    </xf>
    <xf numFmtId="4" fontId="0" fillId="0" borderId="18" xfId="0" applyNumberFormat="1" applyBorder="1" applyAlignment="1">
      <alignment/>
    </xf>
    <xf numFmtId="0" fontId="18" fillId="0" borderId="18" xfId="0" applyFont="1" applyBorder="1" applyAlignment="1" applyProtection="1">
      <alignment/>
      <protection/>
    </xf>
    <xf numFmtId="0" fontId="12" fillId="8" borderId="98" xfId="0" applyFont="1" applyFill="1" applyBorder="1" applyAlignment="1">
      <alignment/>
    </xf>
    <xf numFmtId="0" fontId="12" fillId="8" borderId="99" xfId="0" applyFont="1" applyFill="1" applyBorder="1" applyAlignment="1">
      <alignment/>
    </xf>
    <xf numFmtId="4" fontId="12" fillId="8" borderId="70" xfId="0" applyNumberFormat="1" applyFont="1" applyFill="1" applyBorder="1" applyAlignment="1">
      <alignment/>
    </xf>
    <xf numFmtId="185" fontId="0" fillId="0" borderId="100" xfId="16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85" fontId="0" fillId="0" borderId="47" xfId="0" applyNumberFormat="1" applyFont="1" applyBorder="1" applyAlignment="1">
      <alignment horizontal="center"/>
    </xf>
    <xf numFmtId="186" fontId="0" fillId="0" borderId="86" xfId="0" applyNumberFormat="1" applyFont="1" applyBorder="1" applyAlignment="1">
      <alignment horizontal="center"/>
    </xf>
    <xf numFmtId="186" fontId="0" fillId="0" borderId="47" xfId="0" applyNumberFormat="1" applyFont="1" applyBorder="1" applyAlignment="1">
      <alignment horizontal="center"/>
    </xf>
    <xf numFmtId="0" fontId="0" fillId="0" borderId="101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0" fontId="12" fillId="0" borderId="83" xfId="0" applyFont="1" applyBorder="1" applyAlignment="1">
      <alignment horizontal="left"/>
    </xf>
    <xf numFmtId="185" fontId="12" fillId="0" borderId="84" xfId="16" applyFont="1" applyBorder="1" applyAlignment="1">
      <alignment/>
    </xf>
    <xf numFmtId="0" fontId="0" fillId="0" borderId="48" xfId="0" applyFont="1" applyBorder="1" applyAlignment="1">
      <alignment horizontal="left"/>
    </xf>
    <xf numFmtId="185" fontId="0" fillId="0" borderId="47" xfId="16" applyFont="1" applyBorder="1" applyAlignment="1">
      <alignment/>
    </xf>
    <xf numFmtId="170" fontId="0" fillId="0" borderId="88" xfId="15" applyFont="1" applyBorder="1" applyAlignment="1">
      <alignment/>
    </xf>
    <xf numFmtId="170" fontId="0" fillId="0" borderId="37" xfId="15" applyFont="1" applyBorder="1" applyAlignment="1">
      <alignment/>
    </xf>
    <xf numFmtId="170" fontId="0" fillId="0" borderId="0" xfId="0" applyNumberFormat="1" applyAlignment="1">
      <alignment/>
    </xf>
    <xf numFmtId="170" fontId="0" fillId="0" borderId="0" xfId="15" applyAlignment="1">
      <alignment horizontal="left"/>
    </xf>
    <xf numFmtId="185" fontId="0" fillId="0" borderId="102" xfId="16" applyFont="1" applyBorder="1" applyAlignment="1">
      <alignment/>
    </xf>
    <xf numFmtId="170" fontId="0" fillId="0" borderId="46" xfId="15" applyFont="1" applyBorder="1" applyAlignment="1">
      <alignment/>
    </xf>
    <xf numFmtId="3" fontId="0" fillId="0" borderId="0" xfId="26" applyNumberFormat="1" applyFont="1" applyAlignment="1">
      <alignment/>
    </xf>
    <xf numFmtId="170" fontId="8" fillId="0" borderId="1" xfId="15" applyFont="1" applyBorder="1" applyAlignment="1" applyProtection="1">
      <alignment/>
      <protection/>
    </xf>
    <xf numFmtId="170" fontId="11" fillId="0" borderId="1" xfId="15" applyFont="1" applyBorder="1" applyAlignment="1" applyProtection="1">
      <alignment/>
      <protection/>
    </xf>
    <xf numFmtId="170" fontId="24" fillId="11" borderId="1" xfId="15" applyFont="1" applyFill="1" applyBorder="1" applyAlignment="1" applyProtection="1">
      <alignment/>
      <protection/>
    </xf>
    <xf numFmtId="4" fontId="0" fillId="0" borderId="16" xfId="0" applyNumberFormat="1" applyBorder="1" applyAlignment="1">
      <alignment/>
    </xf>
    <xf numFmtId="0" fontId="0" fillId="2" borderId="9" xfId="0" applyFill="1" applyBorder="1" applyAlignment="1">
      <alignment/>
    </xf>
    <xf numFmtId="182" fontId="0" fillId="2" borderId="10" xfId="0" applyNumberFormat="1" applyFill="1" applyBorder="1" applyAlignment="1">
      <alignment horizontal="left"/>
    </xf>
    <xf numFmtId="2" fontId="0" fillId="0" borderId="0" xfId="0" applyNumberFormat="1" applyAlignment="1">
      <alignment/>
    </xf>
    <xf numFmtId="0" fontId="48" fillId="0" borderId="103" xfId="0" applyFont="1" applyBorder="1" applyAlignment="1">
      <alignment horizontal="center"/>
    </xf>
    <xf numFmtId="0" fontId="48" fillId="0" borderId="104" xfId="0" applyFont="1" applyBorder="1" applyAlignment="1">
      <alignment horizontal="center"/>
    </xf>
    <xf numFmtId="0" fontId="48" fillId="0" borderId="105" xfId="0" applyFont="1" applyBorder="1" applyAlignment="1">
      <alignment horizontal="center"/>
    </xf>
    <xf numFmtId="0" fontId="48" fillId="0" borderId="106" xfId="0" applyFont="1" applyBorder="1" applyAlignment="1">
      <alignment horizontal="center"/>
    </xf>
    <xf numFmtId="0" fontId="34" fillId="0" borderId="22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24" xfId="0" applyFont="1" applyBorder="1" applyAlignment="1">
      <alignment horizontal="left"/>
    </xf>
    <xf numFmtId="0" fontId="48" fillId="0" borderId="107" xfId="0" applyFont="1" applyFill="1" applyBorder="1" applyAlignment="1">
      <alignment horizontal="center"/>
    </xf>
    <xf numFmtId="0" fontId="48" fillId="0" borderId="2" xfId="0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48" fillId="0" borderId="108" xfId="0" applyFont="1" applyFill="1" applyBorder="1" applyAlignment="1">
      <alignment horizontal="center"/>
    </xf>
    <xf numFmtId="0" fontId="20" fillId="0" borderId="109" xfId="0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10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111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20" fillId="0" borderId="24" xfId="0" applyFont="1" applyBorder="1" applyAlignment="1">
      <alignment/>
    </xf>
    <xf numFmtId="184" fontId="20" fillId="0" borderId="112" xfId="0" applyNumberFormat="1" applyFont="1" applyFill="1" applyBorder="1" applyAlignment="1">
      <alignment/>
    </xf>
    <xf numFmtId="184" fontId="20" fillId="0" borderId="11" xfId="0" applyNumberFormat="1" applyFont="1" applyFill="1" applyBorder="1" applyAlignment="1">
      <alignment/>
    </xf>
    <xf numFmtId="184" fontId="20" fillId="0" borderId="13" xfId="0" applyNumberFormat="1" applyFont="1" applyFill="1" applyBorder="1" applyAlignment="1">
      <alignment/>
    </xf>
    <xf numFmtId="184" fontId="20" fillId="0" borderId="113" xfId="0" applyNumberFormat="1" applyFont="1" applyFill="1" applyBorder="1" applyAlignment="1">
      <alignment/>
    </xf>
    <xf numFmtId="0" fontId="20" fillId="0" borderId="112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13" xfId="0" applyFont="1" applyFill="1" applyBorder="1" applyAlignment="1">
      <alignment/>
    </xf>
    <xf numFmtId="0" fontId="20" fillId="0" borderId="114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15" xfId="0" applyFont="1" applyBorder="1" applyAlignment="1">
      <alignment/>
    </xf>
    <xf numFmtId="184" fontId="20" fillId="0" borderId="116" xfId="0" applyNumberFormat="1" applyFont="1" applyFill="1" applyBorder="1" applyAlignment="1">
      <alignment/>
    </xf>
    <xf numFmtId="184" fontId="20" fillId="0" borderId="10" xfId="0" applyNumberFormat="1" applyFont="1" applyFill="1" applyBorder="1" applyAlignment="1">
      <alignment/>
    </xf>
    <xf numFmtId="184" fontId="20" fillId="0" borderId="6" xfId="0" applyNumberFormat="1" applyFont="1" applyFill="1" applyBorder="1" applyAlignment="1">
      <alignment/>
    </xf>
    <xf numFmtId="184" fontId="20" fillId="0" borderId="117" xfId="0" applyNumberFormat="1" applyFont="1" applyFill="1" applyBorder="1" applyAlignment="1">
      <alignment/>
    </xf>
    <xf numFmtId="0" fontId="20" fillId="0" borderId="109" xfId="0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10" xfId="0" applyFont="1" applyFill="1" applyBorder="1" applyAlignment="1">
      <alignment horizontal="right"/>
    </xf>
    <xf numFmtId="0" fontId="20" fillId="0" borderId="9" xfId="0" applyFont="1" applyFill="1" applyBorder="1" applyAlignment="1">
      <alignment horizontal="right"/>
    </xf>
    <xf numFmtId="0" fontId="20" fillId="0" borderId="3" xfId="0" applyFont="1" applyFill="1" applyBorder="1" applyAlignment="1">
      <alignment horizontal="right"/>
    </xf>
    <xf numFmtId="0" fontId="20" fillId="0" borderId="111" xfId="0" applyFont="1" applyFill="1" applyBorder="1" applyAlignment="1">
      <alignment horizontal="right"/>
    </xf>
    <xf numFmtId="184" fontId="20" fillId="0" borderId="112" xfId="0" applyNumberFormat="1" applyFont="1" applyFill="1" applyBorder="1" applyAlignment="1">
      <alignment horizontal="right"/>
    </xf>
    <xf numFmtId="184" fontId="20" fillId="0" borderId="11" xfId="0" applyNumberFormat="1" applyFont="1" applyFill="1" applyBorder="1" applyAlignment="1">
      <alignment horizontal="right"/>
    </xf>
    <xf numFmtId="184" fontId="20" fillId="0" borderId="113" xfId="0" applyNumberFormat="1" applyFont="1" applyFill="1" applyBorder="1" applyAlignment="1">
      <alignment horizontal="right"/>
    </xf>
    <xf numFmtId="0" fontId="20" fillId="0" borderId="116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20" fillId="0" borderId="6" xfId="0" applyFont="1" applyFill="1" applyBorder="1" applyAlignment="1">
      <alignment horizontal="right"/>
    </xf>
    <xf numFmtId="0" fontId="20" fillId="0" borderId="117" xfId="0" applyFont="1" applyFill="1" applyBorder="1" applyAlignment="1">
      <alignment horizontal="right"/>
    </xf>
    <xf numFmtId="0" fontId="20" fillId="0" borderId="109" xfId="0" applyFont="1" applyFill="1" applyBorder="1" applyAlignment="1">
      <alignment/>
    </xf>
    <xf numFmtId="0" fontId="20" fillId="0" borderId="9" xfId="0" applyFont="1" applyFill="1" applyBorder="1" applyAlignment="1">
      <alignment/>
    </xf>
    <xf numFmtId="0" fontId="20" fillId="0" borderId="4" xfId="0" applyFont="1" applyFill="1" applyBorder="1" applyAlignment="1">
      <alignment/>
    </xf>
    <xf numFmtId="0" fontId="20" fillId="0" borderId="111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20" fillId="0" borderId="22" xfId="0" applyNumberFormat="1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2" fontId="20" fillId="0" borderId="113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2" fontId="20" fillId="0" borderId="113" xfId="0" applyNumberFormat="1" applyFont="1" applyFill="1" applyBorder="1" applyAlignment="1">
      <alignment/>
    </xf>
    <xf numFmtId="0" fontId="20" fillId="0" borderId="114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7" xfId="0" applyFont="1" applyFill="1" applyBorder="1" applyAlignment="1">
      <alignment/>
    </xf>
    <xf numFmtId="0" fontId="20" fillId="0" borderId="117" xfId="0" applyFont="1" applyFill="1" applyBorder="1" applyAlignment="1">
      <alignment/>
    </xf>
    <xf numFmtId="202" fontId="20" fillId="0" borderId="22" xfId="26" applyNumberFormat="1" applyFont="1" applyFill="1" applyBorder="1" applyAlignment="1">
      <alignment horizontal="right"/>
    </xf>
    <xf numFmtId="10" fontId="20" fillId="0" borderId="11" xfId="26" applyNumberFormat="1" applyFont="1" applyFill="1" applyBorder="1" applyAlignment="1">
      <alignment horizontal="right"/>
    </xf>
    <xf numFmtId="10" fontId="20" fillId="0" borderId="13" xfId="26" applyNumberFormat="1" applyFont="1" applyFill="1" applyBorder="1" applyAlignment="1">
      <alignment horizontal="right"/>
    </xf>
    <xf numFmtId="10" fontId="20" fillId="0" borderId="113" xfId="26" applyNumberFormat="1" applyFont="1" applyFill="1" applyBorder="1" applyAlignment="1">
      <alignment horizontal="right"/>
    </xf>
    <xf numFmtId="0" fontId="20" fillId="0" borderId="112" xfId="0" applyFont="1" applyFill="1" applyBorder="1" applyAlignment="1" quotePrefix="1">
      <alignment horizontal="center"/>
    </xf>
    <xf numFmtId="0" fontId="20" fillId="0" borderId="11" xfId="0" applyFont="1" applyFill="1" applyBorder="1" applyAlignment="1" quotePrefix="1">
      <alignment horizontal="center"/>
    </xf>
    <xf numFmtId="0" fontId="20" fillId="0" borderId="113" xfId="0" applyFont="1" applyFill="1" applyBorder="1" applyAlignment="1" quotePrefix="1">
      <alignment horizontal="center"/>
    </xf>
    <xf numFmtId="0" fontId="20" fillId="0" borderId="110" xfId="0" applyFont="1" applyFill="1" applyBorder="1" applyAlignment="1">
      <alignment/>
    </xf>
    <xf numFmtId="179" fontId="20" fillId="0" borderId="112" xfId="26" applyNumberFormat="1" applyFont="1" applyFill="1" applyBorder="1" applyAlignment="1">
      <alignment/>
    </xf>
    <xf numFmtId="179" fontId="20" fillId="0" borderId="0" xfId="26" applyNumberFormat="1" applyFont="1" applyFill="1" applyBorder="1" applyAlignment="1">
      <alignment/>
    </xf>
    <xf numFmtId="179" fontId="20" fillId="0" borderId="11" xfId="26" applyNumberFormat="1" applyFont="1" applyFill="1" applyBorder="1" applyAlignment="1">
      <alignment/>
    </xf>
    <xf numFmtId="179" fontId="20" fillId="0" borderId="113" xfId="26" applyNumberFormat="1" applyFont="1" applyFill="1" applyBorder="1" applyAlignment="1">
      <alignment/>
    </xf>
    <xf numFmtId="0" fontId="20" fillId="0" borderId="51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60" xfId="0" applyFont="1" applyBorder="1" applyAlignment="1">
      <alignment/>
    </xf>
    <xf numFmtId="179" fontId="20" fillId="0" borderId="118" xfId="26" applyNumberFormat="1" applyFont="1" applyFill="1" applyBorder="1" applyAlignment="1">
      <alignment horizontal="right"/>
    </xf>
    <xf numFmtId="179" fontId="20" fillId="0" borderId="119" xfId="26" applyNumberFormat="1" applyFont="1" applyFill="1" applyBorder="1" applyAlignment="1">
      <alignment horizontal="right"/>
    </xf>
    <xf numFmtId="179" fontId="20" fillId="0" borderId="120" xfId="26" applyNumberFormat="1" applyFont="1" applyFill="1" applyBorder="1" applyAlignment="1">
      <alignment horizontal="right"/>
    </xf>
    <xf numFmtId="179" fontId="20" fillId="0" borderId="121" xfId="26" applyNumberFormat="1" applyFont="1" applyFill="1" applyBorder="1" applyAlignment="1">
      <alignment horizontal="right"/>
    </xf>
    <xf numFmtId="0" fontId="48" fillId="0" borderId="0" xfId="0" applyFont="1" applyAlignment="1">
      <alignment horizontal="center"/>
    </xf>
    <xf numFmtId="0" fontId="21" fillId="0" borderId="0" xfId="17" applyAlignment="1">
      <alignment/>
    </xf>
    <xf numFmtId="182" fontId="53" fillId="16" borderId="10" xfId="0" applyNumberFormat="1" applyFont="1" applyFill="1" applyBorder="1" applyAlignment="1">
      <alignment horizontal="left"/>
    </xf>
    <xf numFmtId="0" fontId="0" fillId="0" borderId="5" xfId="0" applyBorder="1" applyAlignment="1">
      <alignment/>
    </xf>
    <xf numFmtId="14" fontId="0" fillId="0" borderId="1" xfId="0" applyNumberFormat="1" applyBorder="1" applyAlignment="1">
      <alignment/>
    </xf>
    <xf numFmtId="0" fontId="12" fillId="0" borderId="122" xfId="0" applyFont="1" applyBorder="1" applyAlignment="1">
      <alignment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0" fillId="0" borderId="125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126" xfId="0" applyBorder="1" applyAlignment="1">
      <alignment/>
    </xf>
    <xf numFmtId="0" fontId="0" fillId="0" borderId="78" xfId="0" applyBorder="1" applyAlignment="1">
      <alignment/>
    </xf>
    <xf numFmtId="0" fontId="0" fillId="0" borderId="114" xfId="0" applyBorder="1" applyAlignment="1">
      <alignment/>
    </xf>
    <xf numFmtId="0" fontId="0" fillId="0" borderId="127" xfId="0" applyBorder="1" applyAlignment="1">
      <alignment/>
    </xf>
    <xf numFmtId="0" fontId="0" fillId="0" borderId="115" xfId="0" applyBorder="1" applyAlignment="1">
      <alignment/>
    </xf>
    <xf numFmtId="20" fontId="0" fillId="0" borderId="22" xfId="0" applyNumberFormat="1" applyBorder="1" applyAlignment="1">
      <alignment/>
    </xf>
    <xf numFmtId="10" fontId="0" fillId="0" borderId="42" xfId="0" applyNumberFormat="1" applyBorder="1" applyAlignment="1">
      <alignment/>
    </xf>
    <xf numFmtId="10" fontId="0" fillId="0" borderId="9" xfId="0" applyNumberFormat="1" applyBorder="1" applyAlignment="1">
      <alignment/>
    </xf>
    <xf numFmtId="10" fontId="0" fillId="0" borderId="111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117" xfId="0" applyBorder="1" applyAlignment="1">
      <alignment/>
    </xf>
    <xf numFmtId="179" fontId="0" fillId="0" borderId="54" xfId="0" applyNumberFormat="1" applyBorder="1" applyAlignment="1">
      <alignment/>
    </xf>
    <xf numFmtId="179" fontId="0" fillId="0" borderId="11" xfId="0" applyNumberFormat="1" applyBorder="1" applyAlignment="1">
      <alignment/>
    </xf>
    <xf numFmtId="179" fontId="0" fillId="0" borderId="113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86" xfId="0" applyBorder="1" applyAlignment="1">
      <alignment/>
    </xf>
    <xf numFmtId="0" fontId="0" fillId="0" borderId="128" xfId="0" applyBorder="1" applyAlignment="1">
      <alignment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0" fontId="57" fillId="0" borderId="0" xfId="0" applyFont="1" applyAlignment="1">
      <alignment/>
    </xf>
    <xf numFmtId="0" fontId="85" fillId="0" borderId="129" xfId="0" applyFont="1" applyBorder="1" applyAlignment="1">
      <alignment horizontal="left" indent="1"/>
    </xf>
    <xf numFmtId="4" fontId="51" fillId="0" borderId="11" xfId="0" applyNumberFormat="1" applyFont="1" applyBorder="1" applyAlignment="1">
      <alignment/>
    </xf>
    <xf numFmtId="0" fontId="87" fillId="0" borderId="50" xfId="0" applyFont="1" applyBorder="1" applyAlignment="1">
      <alignment/>
    </xf>
    <xf numFmtId="0" fontId="87" fillId="0" borderId="52" xfId="0" applyFont="1" applyBorder="1" applyAlignment="1">
      <alignment/>
    </xf>
    <xf numFmtId="0" fontId="0" fillId="17" borderId="0" xfId="0" applyFont="1" applyFill="1" applyAlignment="1">
      <alignment/>
    </xf>
    <xf numFmtId="0" fontId="0" fillId="17" borderId="0" xfId="0" applyFont="1" applyFill="1" applyAlignment="1">
      <alignment horizontal="center"/>
    </xf>
    <xf numFmtId="0" fontId="0" fillId="17" borderId="0" xfId="0" applyFont="1" applyFill="1" applyAlignment="1">
      <alignment horizontal="right"/>
    </xf>
    <xf numFmtId="3" fontId="0" fillId="17" borderId="34" xfId="0" applyNumberFormat="1" applyFont="1" applyFill="1" applyBorder="1" applyAlignment="1">
      <alignment/>
    </xf>
    <xf numFmtId="4" fontId="0" fillId="17" borderId="35" xfId="0" applyNumberFormat="1" applyFont="1" applyFill="1" applyBorder="1" applyAlignment="1">
      <alignment/>
    </xf>
    <xf numFmtId="4" fontId="0" fillId="17" borderId="33" xfId="0" applyNumberFormat="1" applyFont="1" applyFill="1" applyBorder="1" applyAlignment="1">
      <alignment/>
    </xf>
    <xf numFmtId="3" fontId="0" fillId="17" borderId="36" xfId="0" applyNumberFormat="1" applyFont="1" applyFill="1" applyBorder="1" applyAlignment="1">
      <alignment/>
    </xf>
    <xf numFmtId="4" fontId="0" fillId="17" borderId="1" xfId="0" applyNumberFormat="1" applyFont="1" applyFill="1" applyBorder="1" applyAlignment="1">
      <alignment/>
    </xf>
    <xf numFmtId="4" fontId="0" fillId="17" borderId="37" xfId="0" applyNumberFormat="1" applyFont="1" applyFill="1" applyBorder="1" applyAlignment="1">
      <alignment/>
    </xf>
    <xf numFmtId="3" fontId="0" fillId="17" borderId="39" xfId="0" applyNumberFormat="1" applyFont="1" applyFill="1" applyBorder="1" applyAlignment="1">
      <alignment/>
    </xf>
    <xf numFmtId="4" fontId="0" fillId="17" borderId="40" xfId="0" applyNumberFormat="1" applyFont="1" applyFill="1" applyBorder="1" applyAlignment="1">
      <alignment/>
    </xf>
    <xf numFmtId="4" fontId="0" fillId="17" borderId="41" xfId="0" applyNumberFormat="1" applyFont="1" applyFill="1" applyBorder="1" applyAlignment="1">
      <alignment/>
    </xf>
    <xf numFmtId="0" fontId="53" fillId="17" borderId="1" xfId="0" applyFont="1" applyFill="1" applyBorder="1" applyAlignment="1">
      <alignment/>
    </xf>
    <xf numFmtId="0" fontId="53" fillId="17" borderId="9" xfId="0" applyFont="1" applyFill="1" applyBorder="1" applyAlignment="1">
      <alignment/>
    </xf>
    <xf numFmtId="0" fontId="53" fillId="17" borderId="11" xfId="0" applyFont="1" applyFill="1" applyBorder="1" applyAlignment="1">
      <alignment/>
    </xf>
    <xf numFmtId="3" fontId="0" fillId="17" borderId="1" xfId="0" applyNumberFormat="1" applyFont="1" applyFill="1" applyBorder="1" applyAlignment="1">
      <alignment/>
    </xf>
    <xf numFmtId="0" fontId="53" fillId="17" borderId="10" xfId="0" applyFont="1" applyFill="1" applyBorder="1" applyAlignment="1">
      <alignment/>
    </xf>
    <xf numFmtId="0" fontId="0" fillId="17" borderId="1" xfId="0" applyFont="1" applyFill="1" applyBorder="1" applyAlignment="1">
      <alignment/>
    </xf>
    <xf numFmtId="170" fontId="52" fillId="15" borderId="49" xfId="15" applyFont="1" applyFill="1" applyBorder="1" applyAlignment="1">
      <alignment/>
    </xf>
    <xf numFmtId="170" fontId="52" fillId="15" borderId="51" xfId="15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11" fillId="0" borderId="49" xfId="0" applyNumberFormat="1" applyFont="1" applyBorder="1" applyAlignment="1" applyProtection="1">
      <alignment/>
      <protection/>
    </xf>
    <xf numFmtId="2" fontId="11" fillId="0" borderId="50" xfId="0" applyNumberFormat="1" applyFont="1" applyBorder="1" applyAlignment="1" applyProtection="1">
      <alignment/>
      <protection/>
    </xf>
    <xf numFmtId="2" fontId="11" fillId="0" borderId="53" xfId="0" applyNumberFormat="1" applyFont="1" applyBorder="1" applyAlignment="1" applyProtection="1">
      <alignment/>
      <protection/>
    </xf>
    <xf numFmtId="175" fontId="10" fillId="0" borderId="5" xfId="0" applyNumberFormat="1" applyFont="1" applyBorder="1" applyAlignment="1" applyProtection="1">
      <alignment horizontal="right"/>
      <protection locked="0"/>
    </xf>
    <xf numFmtId="170" fontId="11" fillId="0" borderId="51" xfId="15" applyFont="1" applyBorder="1" applyAlignment="1" applyProtection="1">
      <alignment/>
      <protection/>
    </xf>
    <xf numFmtId="170" fontId="0" fillId="0" borderId="52" xfId="15" applyBorder="1" applyAlignment="1">
      <alignment/>
    </xf>
    <xf numFmtId="170" fontId="11" fillId="0" borderId="52" xfId="15" applyFont="1" applyBorder="1" applyAlignment="1" applyProtection="1">
      <alignment/>
      <protection/>
    </xf>
    <xf numFmtId="170" fontId="11" fillId="0" borderId="60" xfId="15" applyFont="1" applyBorder="1" applyAlignment="1" applyProtection="1">
      <alignment/>
      <protection/>
    </xf>
    <xf numFmtId="175" fontId="10" fillId="0" borderId="8" xfId="0" applyNumberFormat="1" applyFont="1" applyBorder="1" applyAlignment="1" applyProtection="1">
      <alignment horizontal="right"/>
      <protection locked="0"/>
    </xf>
    <xf numFmtId="0" fontId="11" fillId="0" borderId="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75" fontId="10" fillId="0" borderId="14" xfId="0" applyNumberFormat="1" applyFont="1" applyBorder="1" applyAlignment="1" applyProtection="1">
      <alignment horizontal="right"/>
      <protection locked="0"/>
    </xf>
    <xf numFmtId="175" fontId="10" fillId="0" borderId="12" xfId="0" applyNumberFormat="1" applyFont="1" applyBorder="1" applyAlignment="1" applyProtection="1">
      <alignment horizontal="right"/>
      <protection locked="0"/>
    </xf>
    <xf numFmtId="175" fontId="10" fillId="0" borderId="13" xfId="0" applyNumberFormat="1" applyFont="1" applyBorder="1" applyAlignment="1" applyProtection="1">
      <alignment horizontal="right"/>
      <protection locked="0"/>
    </xf>
    <xf numFmtId="175" fontId="10" fillId="0" borderId="10" xfId="0" applyNumberFormat="1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/>
      <protection/>
    </xf>
    <xf numFmtId="175" fontId="10" fillId="0" borderId="2" xfId="0" applyNumberFormat="1" applyFont="1" applyBorder="1" applyAlignment="1" applyProtection="1">
      <alignment horizontal="right"/>
      <protection locked="0"/>
    </xf>
    <xf numFmtId="15" fontId="88" fillId="6" borderId="0" xfId="0" applyNumberFormat="1" applyFont="1" applyFill="1" applyAlignment="1">
      <alignment/>
    </xf>
    <xf numFmtId="15" fontId="89" fillId="6" borderId="0" xfId="0" applyNumberFormat="1" applyFont="1" applyFill="1" applyAlignment="1">
      <alignment/>
    </xf>
    <xf numFmtId="194" fontId="0" fillId="0" borderId="41" xfId="16" applyNumberFormat="1" applyFont="1" applyBorder="1" applyAlignment="1">
      <alignment/>
    </xf>
    <xf numFmtId="0" fontId="43" fillId="0" borderId="0" xfId="0" applyFont="1" applyAlignment="1">
      <alignment/>
    </xf>
    <xf numFmtId="211" fontId="4" fillId="0" borderId="1" xfId="26" applyNumberFormat="1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40" xfId="0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center" vertical="center" wrapText="1"/>
    </xf>
    <xf numFmtId="170" fontId="13" fillId="15" borderId="20" xfId="15" applyFont="1" applyFill="1" applyBorder="1" applyAlignment="1">
      <alignment/>
    </xf>
    <xf numFmtId="170" fontId="13" fillId="15" borderId="21" xfId="15" applyFont="1" applyFill="1" applyBorder="1" applyAlignment="1">
      <alignment/>
    </xf>
    <xf numFmtId="170" fontId="24" fillId="11" borderId="0" xfId="15" applyFont="1" applyFill="1" applyAlignment="1" applyProtection="1">
      <alignment/>
      <protection/>
    </xf>
    <xf numFmtId="0" fontId="12" fillId="0" borderId="36" xfId="0" applyFont="1" applyFill="1" applyBorder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12" fillId="15" borderId="0" xfId="0" applyFont="1" applyFill="1" applyAlignment="1">
      <alignment/>
    </xf>
    <xf numFmtId="0" fontId="0" fillId="8" borderId="0" xfId="0" applyFill="1" applyBorder="1" applyAlignment="1">
      <alignment/>
    </xf>
    <xf numFmtId="4" fontId="0" fillId="8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Border="1" applyAlignment="1">
      <alignment/>
    </xf>
    <xf numFmtId="0" fontId="0" fillId="12" borderId="0" xfId="0" applyFill="1" applyBorder="1" applyAlignment="1">
      <alignment/>
    </xf>
    <xf numFmtId="4" fontId="0" fillId="12" borderId="0" xfId="0" applyNumberFormat="1" applyFill="1" applyBorder="1" applyAlignment="1">
      <alignment/>
    </xf>
    <xf numFmtId="0" fontId="57" fillId="14" borderId="0" xfId="0" applyFont="1" applyFill="1" applyBorder="1" applyAlignment="1">
      <alignment/>
    </xf>
    <xf numFmtId="4" fontId="57" fillId="14" borderId="0" xfId="0" applyNumberFormat="1" applyFont="1" applyFill="1" applyBorder="1" applyAlignment="1">
      <alignment/>
    </xf>
    <xf numFmtId="170" fontId="0" fillId="0" borderId="0" xfId="15" applyAlignment="1">
      <alignment/>
    </xf>
    <xf numFmtId="0" fontId="53" fillId="9" borderId="26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185" fontId="54" fillId="10" borderId="0" xfId="0" applyNumberFormat="1" applyFont="1" applyFill="1" applyAlignment="1">
      <alignment/>
    </xf>
    <xf numFmtId="0" fontId="82" fillId="2" borderId="20" xfId="0" applyFont="1" applyFill="1" applyBorder="1" applyAlignment="1">
      <alignment/>
    </xf>
    <xf numFmtId="0" fontId="82" fillId="2" borderId="21" xfId="0" applyFont="1" applyFill="1" applyBorder="1" applyAlignment="1">
      <alignment/>
    </xf>
    <xf numFmtId="4" fontId="28" fillId="0" borderId="0" xfId="0" applyNumberFormat="1" applyFont="1" applyAlignment="1">
      <alignment/>
    </xf>
    <xf numFmtId="170" fontId="98" fillId="15" borderId="19" xfId="15" applyFont="1" applyFill="1" applyBorder="1" applyAlignment="1">
      <alignment/>
    </xf>
    <xf numFmtId="170" fontId="98" fillId="15" borderId="20" xfId="15" applyFont="1" applyFill="1" applyBorder="1" applyAlignment="1">
      <alignment/>
    </xf>
    <xf numFmtId="0" fontId="85" fillId="0" borderId="0" xfId="0" applyFont="1" applyAlignment="1">
      <alignment horizontal="left"/>
    </xf>
    <xf numFmtId="0" fontId="99" fillId="0" borderId="0" xfId="0" applyFont="1" applyAlignment="1">
      <alignment horizontal="left" wrapText="1"/>
    </xf>
    <xf numFmtId="10" fontId="4" fillId="0" borderId="0" xfId="26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16" applyNumberFormat="1" applyFont="1" applyBorder="1" applyAlignment="1">
      <alignment/>
    </xf>
    <xf numFmtId="170" fontId="0" fillId="0" borderId="47" xfId="15" applyFont="1" applyBorder="1" applyAlignment="1">
      <alignment/>
    </xf>
    <xf numFmtId="185" fontId="0" fillId="0" borderId="37" xfId="0" applyNumberFormat="1" applyFont="1" applyBorder="1" applyAlignment="1">
      <alignment/>
    </xf>
    <xf numFmtId="170" fontId="0" fillId="0" borderId="60" xfId="15" applyFont="1" applyFill="1" applyBorder="1" applyAlignment="1">
      <alignment horizontal="center" vertical="center"/>
    </xf>
    <xf numFmtId="0" fontId="0" fillId="0" borderId="126" xfId="0" applyFont="1" applyBorder="1" applyAlignment="1">
      <alignment/>
    </xf>
    <xf numFmtId="170" fontId="0" fillId="0" borderId="130" xfId="0" applyNumberFormat="1" applyFont="1" applyBorder="1" applyAlignment="1">
      <alignment/>
    </xf>
    <xf numFmtId="0" fontId="0" fillId="0" borderId="131" xfId="0" applyFont="1" applyBorder="1" applyAlignment="1">
      <alignment/>
    </xf>
    <xf numFmtId="0" fontId="0" fillId="0" borderId="119" xfId="0" applyFont="1" applyBorder="1" applyAlignment="1">
      <alignment/>
    </xf>
    <xf numFmtId="170" fontId="0" fillId="0" borderId="24" xfId="15" applyFont="1" applyBorder="1" applyAlignment="1">
      <alignment/>
    </xf>
    <xf numFmtId="0" fontId="53" fillId="10" borderId="9" xfId="0" applyFont="1" applyFill="1" applyBorder="1" applyAlignment="1">
      <alignment/>
    </xf>
    <xf numFmtId="0" fontId="53" fillId="10" borderId="11" xfId="0" applyFont="1" applyFill="1" applyBorder="1" applyAlignment="1">
      <alignment/>
    </xf>
    <xf numFmtId="0" fontId="53" fillId="10" borderId="10" xfId="0" applyFont="1" applyFill="1" applyBorder="1" applyAlignment="1">
      <alignment/>
    </xf>
    <xf numFmtId="0" fontId="53" fillId="10" borderId="1" xfId="0" applyFont="1" applyFill="1" applyBorder="1" applyAlignment="1">
      <alignment/>
    </xf>
    <xf numFmtId="0" fontId="12" fillId="0" borderId="132" xfId="0" applyFont="1" applyBorder="1" applyAlignment="1">
      <alignment/>
    </xf>
    <xf numFmtId="0" fontId="0" fillId="0" borderId="90" xfId="0" applyFont="1" applyBorder="1" applyAlignment="1">
      <alignment/>
    </xf>
    <xf numFmtId="185" fontId="0" fillId="0" borderId="47" xfId="0" applyNumberFormat="1" applyFont="1" applyBorder="1" applyAlignment="1">
      <alignment/>
    </xf>
    <xf numFmtId="0" fontId="0" fillId="0" borderId="48" xfId="0" applyFont="1" applyBorder="1" applyAlignment="1" quotePrefix="1">
      <alignment horizontal="right"/>
    </xf>
    <xf numFmtId="0" fontId="13" fillId="0" borderId="48" xfId="0" applyFont="1" applyBorder="1" applyAlignment="1">
      <alignment/>
    </xf>
    <xf numFmtId="0" fontId="13" fillId="0" borderId="87" xfId="0" applyFont="1" applyBorder="1" applyAlignment="1">
      <alignment/>
    </xf>
    <xf numFmtId="0" fontId="0" fillId="0" borderId="65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73" xfId="0" applyFont="1" applyBorder="1" applyAlignment="1">
      <alignment/>
    </xf>
    <xf numFmtId="1" fontId="0" fillId="0" borderId="0" xfId="0" applyNumberFormat="1" applyFont="1" applyAlignment="1">
      <alignment/>
    </xf>
    <xf numFmtId="0" fontId="7" fillId="0" borderId="49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51" xfId="0" applyFont="1" applyBorder="1" applyAlignment="1">
      <alignment/>
    </xf>
    <xf numFmtId="2" fontId="7" fillId="0" borderId="53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60" xfId="0" applyNumberFormat="1" applyFont="1" applyBorder="1" applyAlignment="1">
      <alignment/>
    </xf>
    <xf numFmtId="0" fontId="0" fillId="0" borderId="0" xfId="0" applyAlignment="1">
      <alignment horizontal="center"/>
    </xf>
    <xf numFmtId="0" fontId="99" fillId="0" borderId="0" xfId="0" applyFont="1" applyAlignment="1">
      <alignment/>
    </xf>
    <xf numFmtId="182" fontId="0" fillId="0" borderId="19" xfId="0" applyNumberFormat="1" applyBorder="1" applyAlignment="1">
      <alignment/>
    </xf>
    <xf numFmtId="182" fontId="0" fillId="0" borderId="21" xfId="0" applyNumberFormat="1" applyBorder="1" applyAlignment="1">
      <alignment/>
    </xf>
    <xf numFmtId="10" fontId="0" fillId="0" borderId="11" xfId="26" applyNumberFormat="1" applyFont="1" applyFill="1" applyBorder="1" applyAlignment="1">
      <alignment horizontal="center"/>
    </xf>
    <xf numFmtId="4" fontId="86" fillId="0" borderId="129" xfId="0" applyNumberFormat="1" applyFont="1" applyBorder="1" applyAlignment="1">
      <alignment horizontal="left"/>
    </xf>
    <xf numFmtId="0" fontId="86" fillId="0" borderId="129" xfId="0" applyFont="1" applyBorder="1" applyAlignment="1">
      <alignment horizontal="left"/>
    </xf>
    <xf numFmtId="0" fontId="57" fillId="6" borderId="0" xfId="0" applyFont="1" applyFill="1" applyBorder="1" applyAlignment="1">
      <alignment/>
    </xf>
    <xf numFmtId="4" fontId="57" fillId="6" borderId="0" xfId="0" applyNumberFormat="1" applyFont="1" applyFill="1" applyBorder="1" applyAlignment="1">
      <alignment/>
    </xf>
    <xf numFmtId="0" fontId="0" fillId="15" borderId="0" xfId="0" applyFont="1" applyFill="1" applyAlignment="1">
      <alignment/>
    </xf>
    <xf numFmtId="0" fontId="0" fillId="0" borderId="8" xfId="0" applyBorder="1" applyAlignment="1">
      <alignment horizontal="left" vertical="center" wrapText="1"/>
    </xf>
    <xf numFmtId="10" fontId="4" fillId="0" borderId="1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/>
    </xf>
    <xf numFmtId="0" fontId="0" fillId="0" borderId="6" xfId="0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/>
    </xf>
    <xf numFmtId="10" fontId="4" fillId="0" borderId="28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0" fontId="4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1" fillId="0" borderId="0" xfId="17" applyFont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181" fontId="4" fillId="0" borderId="6" xfId="0" applyNumberFormat="1" applyFont="1" applyBorder="1" applyAlignment="1">
      <alignment horizontal="center"/>
    </xf>
    <xf numFmtId="181" fontId="4" fillId="0" borderId="7" xfId="0" applyNumberFormat="1" applyFont="1" applyBorder="1" applyAlignment="1">
      <alignment horizontal="center"/>
    </xf>
    <xf numFmtId="181" fontId="4" fillId="0" borderId="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4" fillId="0" borderId="9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181" fontId="4" fillId="0" borderId="3" xfId="0" applyNumberFormat="1" applyFont="1" applyBorder="1" applyAlignment="1">
      <alignment horizontal="left"/>
    </xf>
    <xf numFmtId="181" fontId="4" fillId="0" borderId="5" xfId="0" applyNumberFormat="1" applyFont="1" applyBorder="1" applyAlignment="1">
      <alignment horizontal="left"/>
    </xf>
    <xf numFmtId="10" fontId="4" fillId="0" borderId="9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3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181" fontId="64" fillId="0" borderId="0" xfId="0" applyNumberFormat="1" applyFont="1" applyAlignment="1">
      <alignment horizontal="center"/>
    </xf>
    <xf numFmtId="0" fontId="4" fillId="0" borderId="8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33" xfId="0" applyFont="1" applyBorder="1" applyAlignment="1">
      <alignment horizontal="left"/>
    </xf>
    <xf numFmtId="0" fontId="4" fillId="0" borderId="134" xfId="0" applyFont="1" applyBorder="1" applyAlignment="1">
      <alignment horizontal="left"/>
    </xf>
    <xf numFmtId="0" fontId="53" fillId="10" borderId="93" xfId="0" applyFont="1" applyFill="1" applyBorder="1" applyAlignment="1">
      <alignment horizontal="center"/>
    </xf>
    <xf numFmtId="0" fontId="53" fillId="10" borderId="135" xfId="0" applyFont="1" applyFill="1" applyBorder="1" applyAlignment="1">
      <alignment horizontal="center"/>
    </xf>
    <xf numFmtId="0" fontId="53" fillId="10" borderId="72" xfId="0" applyFont="1" applyFill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9" xfId="0" applyFont="1" applyBorder="1" applyAlignment="1">
      <alignment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0" fillId="0" borderId="8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12" fillId="0" borderId="73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12" fillId="0" borderId="133" xfId="0" applyFont="1" applyBorder="1" applyAlignment="1">
      <alignment horizontal="left"/>
    </xf>
    <xf numFmtId="0" fontId="12" fillId="0" borderId="134" xfId="0" applyFont="1" applyBorder="1" applyAlignment="1">
      <alignment horizontal="left"/>
    </xf>
    <xf numFmtId="0" fontId="53" fillId="10" borderId="93" xfId="0" applyFont="1" applyFill="1" applyBorder="1" applyAlignment="1">
      <alignment horizontal="center" wrapText="1"/>
    </xf>
    <xf numFmtId="0" fontId="0" fillId="0" borderId="135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53" fillId="10" borderId="73" xfId="0" applyFont="1" applyFill="1" applyBorder="1" applyAlignment="1">
      <alignment horizontal="center" vertical="center" wrapText="1"/>
    </xf>
    <xf numFmtId="0" fontId="53" fillId="10" borderId="74" xfId="0" applyFont="1" applyFill="1" applyBorder="1" applyAlignment="1">
      <alignment horizontal="center" vertical="center" wrapText="1"/>
    </xf>
    <xf numFmtId="0" fontId="53" fillId="10" borderId="75" xfId="0" applyFont="1" applyFill="1" applyBorder="1" applyAlignment="1">
      <alignment horizontal="center" vertical="center" wrapText="1"/>
    </xf>
    <xf numFmtId="0" fontId="53" fillId="10" borderId="85" xfId="0" applyFont="1" applyFill="1" applyBorder="1" applyAlignment="1">
      <alignment horizontal="center" vertical="center" wrapText="1"/>
    </xf>
    <xf numFmtId="0" fontId="53" fillId="10" borderId="52" xfId="0" applyFont="1" applyFill="1" applyBorder="1" applyAlignment="1">
      <alignment horizontal="center" vertical="center" wrapText="1"/>
    </xf>
    <xf numFmtId="0" fontId="53" fillId="10" borderId="86" xfId="0" applyFont="1" applyFill="1" applyBorder="1" applyAlignment="1">
      <alignment horizontal="center" vertical="center" wrapText="1"/>
    </xf>
    <xf numFmtId="0" fontId="0" fillId="0" borderId="133" xfId="0" applyFont="1" applyBorder="1" applyAlignment="1">
      <alignment horizontal="left"/>
    </xf>
    <xf numFmtId="0" fontId="0" fillId="0" borderId="134" xfId="0" applyFont="1" applyBorder="1" applyAlignment="1">
      <alignment horizontal="left"/>
    </xf>
    <xf numFmtId="0" fontId="0" fillId="0" borderId="74" xfId="0" applyBorder="1" applyAlignment="1">
      <alignment horizontal="center" vertical="center" wrapText="1"/>
    </xf>
    <xf numFmtId="189" fontId="43" fillId="0" borderId="44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53" fillId="17" borderId="0" xfId="0" applyFont="1" applyFill="1" applyAlignment="1">
      <alignment horizontal="center"/>
    </xf>
    <xf numFmtId="0" fontId="0" fillId="17" borderId="1" xfId="0" applyFont="1" applyFill="1" applyBorder="1" applyAlignment="1">
      <alignment horizontal="center"/>
    </xf>
    <xf numFmtId="0" fontId="77" fillId="10" borderId="76" xfId="0" applyFont="1" applyFill="1" applyBorder="1" applyAlignment="1">
      <alignment horizontal="center"/>
    </xf>
    <xf numFmtId="10" fontId="0" fillId="0" borderId="133" xfId="26" applyNumberFormat="1" applyFont="1" applyFill="1" applyBorder="1" applyAlignment="1">
      <alignment horizontal="center"/>
    </xf>
    <xf numFmtId="10" fontId="0" fillId="0" borderId="134" xfId="26" applyNumberFormat="1" applyFont="1" applyFill="1" applyBorder="1" applyAlignment="1">
      <alignment horizontal="center"/>
    </xf>
    <xf numFmtId="199" fontId="0" fillId="0" borderId="48" xfId="0" applyNumberFormat="1" applyFont="1" applyBorder="1" applyAlignment="1">
      <alignment horizontal="center"/>
    </xf>
    <xf numFmtId="199" fontId="0" fillId="0" borderId="14" xfId="0" applyNumberFormat="1" applyFont="1" applyBorder="1" applyAlignment="1">
      <alignment horizontal="center"/>
    </xf>
    <xf numFmtId="0" fontId="53" fillId="10" borderId="137" xfId="0" applyFont="1" applyFill="1" applyBorder="1" applyAlignment="1">
      <alignment horizontal="center"/>
    </xf>
    <xf numFmtId="199" fontId="0" fillId="0" borderId="73" xfId="0" applyNumberFormat="1" applyFont="1" applyBorder="1" applyAlignment="1">
      <alignment horizontal="center"/>
    </xf>
    <xf numFmtId="199" fontId="0" fillId="0" borderId="77" xfId="0" applyNumberFormat="1" applyFont="1" applyBorder="1" applyAlignment="1">
      <alignment horizontal="center"/>
    </xf>
    <xf numFmtId="0" fontId="4" fillId="0" borderId="138" xfId="0" applyFont="1" applyBorder="1" applyAlignment="1">
      <alignment horizontal="left"/>
    </xf>
    <xf numFmtId="0" fontId="4" fillId="0" borderId="139" xfId="0" applyFont="1" applyBorder="1" applyAlignment="1">
      <alignment horizontal="left"/>
    </xf>
    <xf numFmtId="199" fontId="0" fillId="0" borderId="87" xfId="0" applyNumberFormat="1" applyFont="1" applyBorder="1" applyAlignment="1">
      <alignment horizontal="center"/>
    </xf>
    <xf numFmtId="199" fontId="0" fillId="0" borderId="80" xfId="0" applyNumberFormat="1" applyFont="1" applyBorder="1" applyAlignment="1">
      <alignment horizontal="center"/>
    </xf>
    <xf numFmtId="0" fontId="53" fillId="10" borderId="48" xfId="0" applyFont="1" applyFill="1" applyBorder="1" applyAlignment="1">
      <alignment horizontal="center" vertical="center" wrapText="1"/>
    </xf>
    <xf numFmtId="0" fontId="53" fillId="10" borderId="0" xfId="0" applyFont="1" applyFill="1" applyBorder="1" applyAlignment="1">
      <alignment horizontal="center" vertical="center" wrapText="1"/>
    </xf>
    <xf numFmtId="0" fontId="53" fillId="10" borderId="47" xfId="0" applyFont="1" applyFill="1" applyBorder="1" applyAlignment="1">
      <alignment horizontal="center" vertical="center" wrapText="1"/>
    </xf>
    <xf numFmtId="0" fontId="53" fillId="10" borderId="25" xfId="0" applyFont="1" applyFill="1" applyBorder="1" applyAlignment="1">
      <alignment horizontal="center" vertical="center"/>
    </xf>
    <xf numFmtId="0" fontId="53" fillId="10" borderId="26" xfId="0" applyFont="1" applyFill="1" applyBorder="1" applyAlignment="1">
      <alignment horizontal="center" vertical="center"/>
    </xf>
    <xf numFmtId="0" fontId="53" fillId="10" borderId="27" xfId="0" applyFont="1" applyFill="1" applyBorder="1" applyAlignment="1">
      <alignment horizontal="center" vertical="center"/>
    </xf>
    <xf numFmtId="0" fontId="53" fillId="10" borderId="135" xfId="0" applyFont="1" applyFill="1" applyBorder="1" applyAlignment="1">
      <alignment horizontal="center" wrapText="1"/>
    </xf>
    <xf numFmtId="0" fontId="53" fillId="10" borderId="72" xfId="0" applyFont="1" applyFill="1" applyBorder="1" applyAlignment="1">
      <alignment horizontal="center" wrapText="1"/>
    </xf>
    <xf numFmtId="0" fontId="53" fillId="10" borderId="93" xfId="0" applyFont="1" applyFill="1" applyBorder="1" applyAlignment="1">
      <alignment horizontal="center" vertical="center" wrapText="1"/>
    </xf>
    <xf numFmtId="0" fontId="53" fillId="10" borderId="135" xfId="0" applyFont="1" applyFill="1" applyBorder="1" applyAlignment="1">
      <alignment horizontal="center" vertical="center" wrapText="1"/>
    </xf>
    <xf numFmtId="0" fontId="53" fillId="10" borderId="72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133" xfId="0" applyFont="1" applyFill="1" applyBorder="1" applyAlignment="1">
      <alignment horizontal="left"/>
    </xf>
    <xf numFmtId="0" fontId="0" fillId="0" borderId="134" xfId="0" applyFont="1" applyFill="1" applyBorder="1" applyAlignment="1">
      <alignment horizontal="left"/>
    </xf>
    <xf numFmtId="0" fontId="0" fillId="0" borderId="138" xfId="0" applyFont="1" applyFill="1" applyBorder="1" applyAlignment="1">
      <alignment horizontal="left"/>
    </xf>
    <xf numFmtId="0" fontId="0" fillId="0" borderId="139" xfId="0" applyFont="1" applyFill="1" applyBorder="1" applyAlignment="1">
      <alignment horizontal="left"/>
    </xf>
    <xf numFmtId="185" fontId="53" fillId="10" borderId="61" xfId="16" applyFont="1" applyFill="1" applyBorder="1" applyAlignment="1">
      <alignment horizontal="center" vertical="center"/>
    </xf>
    <xf numFmtId="185" fontId="53" fillId="10" borderId="62" xfId="16" applyFont="1" applyFill="1" applyBorder="1" applyAlignment="1">
      <alignment horizontal="center" vertical="center"/>
    </xf>
    <xf numFmtId="0" fontId="53" fillId="10" borderId="87" xfId="0" applyFont="1" applyFill="1" applyBorder="1" applyAlignment="1">
      <alignment horizontal="center" vertical="center" wrapText="1"/>
    </xf>
    <xf numFmtId="0" fontId="53" fillId="10" borderId="88" xfId="0" applyFont="1" applyFill="1" applyBorder="1" applyAlignment="1">
      <alignment horizontal="center" vertical="center" wrapText="1"/>
    </xf>
    <xf numFmtId="186" fontId="53" fillId="10" borderId="61" xfId="0" applyNumberFormat="1" applyFont="1" applyFill="1" applyBorder="1" applyAlignment="1">
      <alignment horizontal="center" vertical="center" wrapText="1"/>
    </xf>
    <xf numFmtId="0" fontId="53" fillId="10" borderId="62" xfId="0" applyFont="1" applyFill="1" applyBorder="1" applyAlignment="1">
      <alignment horizontal="center" vertical="center" wrapText="1"/>
    </xf>
    <xf numFmtId="0" fontId="53" fillId="10" borderId="73" xfId="0" applyFont="1" applyFill="1" applyBorder="1" applyAlignment="1">
      <alignment horizontal="center" vertical="center"/>
    </xf>
    <xf numFmtId="0" fontId="53" fillId="10" borderId="75" xfId="0" applyFont="1" applyFill="1" applyBorder="1" applyAlignment="1">
      <alignment horizontal="center" vertical="center"/>
    </xf>
    <xf numFmtId="0" fontId="53" fillId="10" borderId="87" xfId="0" applyFont="1" applyFill="1" applyBorder="1" applyAlignment="1">
      <alignment horizontal="center" vertical="center"/>
    </xf>
    <xf numFmtId="0" fontId="53" fillId="10" borderId="65" xfId="0" applyFont="1" applyFill="1" applyBorder="1" applyAlignment="1">
      <alignment horizontal="center" vertical="center"/>
    </xf>
    <xf numFmtId="0" fontId="0" fillId="0" borderId="138" xfId="0" applyFont="1" applyBorder="1" applyAlignment="1">
      <alignment horizontal="left"/>
    </xf>
    <xf numFmtId="0" fontId="0" fillId="0" borderId="139" xfId="0" applyFont="1" applyBorder="1" applyAlignment="1">
      <alignment horizontal="left"/>
    </xf>
    <xf numFmtId="0" fontId="64" fillId="0" borderId="0" xfId="0" applyFont="1" applyAlignment="1">
      <alignment horizontal="center"/>
    </xf>
    <xf numFmtId="0" fontId="0" fillId="0" borderId="8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33" xfId="0" applyBorder="1" applyAlignment="1">
      <alignment horizontal="left"/>
    </xf>
    <xf numFmtId="0" fontId="0" fillId="0" borderId="134" xfId="0" applyBorder="1" applyAlignment="1">
      <alignment horizontal="left"/>
    </xf>
    <xf numFmtId="0" fontId="0" fillId="0" borderId="8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33" xfId="0" applyFill="1" applyBorder="1" applyAlignment="1">
      <alignment horizontal="left"/>
    </xf>
    <xf numFmtId="0" fontId="0" fillId="0" borderId="134" xfId="0" applyFill="1" applyBorder="1" applyAlignment="1">
      <alignment horizontal="left"/>
    </xf>
    <xf numFmtId="0" fontId="0" fillId="0" borderId="133" xfId="0" applyFont="1" applyBorder="1" applyAlignment="1">
      <alignment horizontal="left" vertical="center"/>
    </xf>
    <xf numFmtId="0" fontId="0" fillId="0" borderId="134" xfId="0" applyFont="1" applyBorder="1" applyAlignment="1">
      <alignment horizontal="left" vertical="center"/>
    </xf>
    <xf numFmtId="0" fontId="0" fillId="0" borderId="8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40" xfId="0" applyBorder="1" applyAlignment="1">
      <alignment horizontal="left"/>
    </xf>
    <xf numFmtId="0" fontId="53" fillId="10" borderId="65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6" xfId="0" applyBorder="1" applyAlignment="1">
      <alignment/>
    </xf>
    <xf numFmtId="0" fontId="0" fillId="0" borderId="1" xfId="0" applyBorder="1" applyAlignment="1">
      <alignment/>
    </xf>
    <xf numFmtId="0" fontId="0" fillId="0" borderId="138" xfId="0" applyFont="1" applyBorder="1" applyAlignment="1">
      <alignment/>
    </xf>
    <xf numFmtId="0" fontId="0" fillId="0" borderId="139" xfId="0" applyBorder="1" applyAlignment="1">
      <alignment/>
    </xf>
    <xf numFmtId="0" fontId="0" fillId="0" borderId="2" xfId="0" applyBorder="1" applyAlignment="1">
      <alignment/>
    </xf>
    <xf numFmtId="0" fontId="0" fillId="0" borderId="73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136" xfId="0" applyBorder="1" applyAlignment="1">
      <alignment horizontal="left" vertical="center" wrapText="1"/>
    </xf>
    <xf numFmtId="170" fontId="0" fillId="0" borderId="45" xfId="15" applyFont="1" applyBorder="1" applyAlignment="1">
      <alignment horizontal="center" vertical="center"/>
    </xf>
    <xf numFmtId="170" fontId="0" fillId="0" borderId="46" xfId="15" applyFont="1" applyBorder="1" applyAlignment="1">
      <alignment horizontal="center" vertical="center"/>
    </xf>
    <xf numFmtId="0" fontId="0" fillId="0" borderId="138" xfId="0" applyBorder="1" applyAlignment="1">
      <alignment horizontal="left"/>
    </xf>
    <xf numFmtId="0" fontId="0" fillId="0" borderId="141" xfId="0" applyBorder="1" applyAlignment="1">
      <alignment horizontal="left"/>
    </xf>
    <xf numFmtId="0" fontId="0" fillId="0" borderId="132" xfId="0" applyBorder="1" applyAlignment="1">
      <alignment horizontal="left" vertical="center" wrapText="1"/>
    </xf>
    <xf numFmtId="0" fontId="0" fillId="0" borderId="87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170" fontId="0" fillId="0" borderId="38" xfId="15" applyBorder="1" applyAlignment="1">
      <alignment horizontal="center" vertical="center" wrapText="1"/>
    </xf>
    <xf numFmtId="170" fontId="0" fillId="0" borderId="92" xfId="15" applyBorder="1" applyAlignment="1">
      <alignment horizontal="center" vertical="center" wrapText="1"/>
    </xf>
    <xf numFmtId="0" fontId="77" fillId="10" borderId="93" xfId="0" applyFont="1" applyFill="1" applyBorder="1" applyAlignment="1">
      <alignment horizontal="center"/>
    </xf>
    <xf numFmtId="0" fontId="77" fillId="10" borderId="135" xfId="0" applyFont="1" applyFill="1" applyBorder="1" applyAlignment="1">
      <alignment horizontal="center"/>
    </xf>
    <xf numFmtId="0" fontId="77" fillId="10" borderId="72" xfId="0" applyFont="1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1" xfId="0" applyBorder="1" applyAlignment="1">
      <alignment horizontal="left"/>
    </xf>
    <xf numFmtId="0" fontId="53" fillId="10" borderId="73" xfId="0" applyFont="1" applyFill="1" applyBorder="1" applyAlignment="1">
      <alignment horizontal="center"/>
    </xf>
    <xf numFmtId="0" fontId="53" fillId="10" borderId="74" xfId="0" applyFont="1" applyFill="1" applyBorder="1" applyAlignment="1">
      <alignment horizontal="center"/>
    </xf>
    <xf numFmtId="0" fontId="53" fillId="10" borderId="75" xfId="0" applyFont="1" applyFill="1" applyBorder="1" applyAlignment="1">
      <alignment horizontal="center"/>
    </xf>
    <xf numFmtId="0" fontId="53" fillId="10" borderId="76" xfId="0" applyFon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10" fontId="0" fillId="0" borderId="133" xfId="26" applyNumberFormat="1" applyFont="1" applyBorder="1" applyAlignment="1">
      <alignment horizontal="center"/>
    </xf>
    <xf numFmtId="10" fontId="0" fillId="0" borderId="134" xfId="26" applyNumberFormat="1" applyFont="1" applyBorder="1" applyAlignment="1">
      <alignment horizontal="center"/>
    </xf>
    <xf numFmtId="0" fontId="53" fillId="10" borderId="137" xfId="0" applyFont="1" applyFill="1" applyBorder="1" applyAlignment="1">
      <alignment horizontal="center" vertical="center" wrapText="1"/>
    </xf>
    <xf numFmtId="201" fontId="0" fillId="0" borderId="73" xfId="0" applyNumberFormat="1" applyFont="1" applyBorder="1" applyAlignment="1">
      <alignment horizontal="center"/>
    </xf>
    <xf numFmtId="201" fontId="0" fillId="0" borderId="77" xfId="0" applyNumberFormat="1" applyFont="1" applyBorder="1" applyAlignment="1">
      <alignment horizontal="center"/>
    </xf>
    <xf numFmtId="201" fontId="0" fillId="0" borderId="48" xfId="0" applyNumberFormat="1" applyFont="1" applyBorder="1" applyAlignment="1">
      <alignment horizontal="center"/>
    </xf>
    <xf numFmtId="201" fontId="0" fillId="0" borderId="14" xfId="0" applyNumberFormat="1" applyFont="1" applyBorder="1" applyAlignment="1">
      <alignment horizontal="center"/>
    </xf>
    <xf numFmtId="0" fontId="35" fillId="0" borderId="1" xfId="25" applyFont="1" applyBorder="1" applyAlignment="1">
      <alignment horizontal="left"/>
      <protection/>
    </xf>
    <xf numFmtId="0" fontId="65" fillId="0" borderId="142" xfId="0" applyFont="1" applyBorder="1" applyAlignment="1">
      <alignment horizontal="center" vertical="top"/>
    </xf>
    <xf numFmtId="0" fontId="65" fillId="0" borderId="143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" xfId="0" applyBorder="1" applyAlignment="1">
      <alignment/>
    </xf>
    <xf numFmtId="0" fontId="30" fillId="4" borderId="25" xfId="24" applyFont="1" applyFill="1" applyBorder="1" applyAlignment="1">
      <alignment horizontal="center"/>
      <protection/>
    </xf>
    <xf numFmtId="0" fontId="30" fillId="4" borderId="26" xfId="24" applyFont="1" applyFill="1" applyBorder="1" applyAlignment="1">
      <alignment horizontal="center"/>
      <protection/>
    </xf>
    <xf numFmtId="0" fontId="30" fillId="4" borderId="27" xfId="24" applyFont="1" applyFill="1" applyBorder="1" applyAlignment="1">
      <alignment horizontal="center"/>
      <protection/>
    </xf>
    <xf numFmtId="4" fontId="56" fillId="6" borderId="0" xfId="0" applyNumberFormat="1" applyFont="1" applyFill="1" applyAlignment="1" applyProtection="1">
      <alignment horizontal="center"/>
      <protection/>
    </xf>
    <xf numFmtId="175" fontId="8" fillId="2" borderId="4" xfId="0" applyNumberFormat="1" applyFont="1" applyFill="1" applyBorder="1" applyAlignment="1" applyProtection="1">
      <alignment horizontal="center"/>
      <protection/>
    </xf>
    <xf numFmtId="175" fontId="8" fillId="2" borderId="5" xfId="0" applyNumberFormat="1" applyFont="1" applyFill="1" applyBorder="1" applyAlignment="1" applyProtection="1">
      <alignment horizontal="center"/>
      <protection/>
    </xf>
    <xf numFmtId="175" fontId="8" fillId="0" borderId="7" xfId="0" applyNumberFormat="1" applyFont="1" applyBorder="1" applyAlignment="1" applyProtection="1">
      <alignment horizontal="center"/>
      <protection/>
    </xf>
    <xf numFmtId="175" fontId="8" fillId="0" borderId="8" xfId="0" applyNumberFormat="1" applyFont="1" applyBorder="1" applyAlignment="1" applyProtection="1">
      <alignment horizontal="center"/>
      <protection/>
    </xf>
    <xf numFmtId="14" fontId="28" fillId="0" borderId="144" xfId="0" applyNumberFormat="1" applyFont="1" applyBorder="1" applyAlignment="1" applyProtection="1" quotePrefix="1">
      <alignment horizontal="center"/>
      <protection/>
    </xf>
    <xf numFmtId="14" fontId="28" fillId="0" borderId="145" xfId="0" applyNumberFormat="1" applyFont="1" applyBorder="1" applyAlignment="1" applyProtection="1" quotePrefix="1">
      <alignment horizontal="center"/>
      <protection/>
    </xf>
    <xf numFmtId="0" fontId="28" fillId="0" borderId="29" xfId="0" applyFont="1" applyBorder="1" applyAlignment="1" applyProtection="1" quotePrefix="1">
      <alignment horizontal="center"/>
      <protection/>
    </xf>
    <xf numFmtId="0" fontId="28" fillId="0" borderId="144" xfId="0" applyFont="1" applyBorder="1" applyAlignment="1" applyProtection="1" quotePrefix="1">
      <alignment horizontal="center"/>
      <protection/>
    </xf>
    <xf numFmtId="0" fontId="28" fillId="0" borderId="145" xfId="0" applyFont="1" applyBorder="1" applyAlignment="1" applyProtection="1" quotePrefix="1">
      <alignment horizontal="center"/>
      <protection/>
    </xf>
    <xf numFmtId="175" fontId="31" fillId="6" borderId="146" xfId="0" applyNumberFormat="1" applyFont="1" applyFill="1" applyBorder="1" applyAlignment="1" applyProtection="1">
      <alignment horizontal="center"/>
      <protection/>
    </xf>
    <xf numFmtId="175" fontId="31" fillId="6" borderId="147" xfId="0" applyNumberFormat="1" applyFont="1" applyFill="1" applyBorder="1" applyAlignment="1" applyProtection="1">
      <alignment horizontal="center"/>
      <protection/>
    </xf>
    <xf numFmtId="175" fontId="31" fillId="6" borderId="148" xfId="0" applyNumberFormat="1" applyFont="1" applyFill="1" applyBorder="1" applyAlignment="1" applyProtection="1">
      <alignment horizontal="center"/>
      <protection/>
    </xf>
    <xf numFmtId="0" fontId="32" fillId="0" borderId="9" xfId="0" applyFont="1" applyBorder="1" applyAlignment="1" applyProtection="1">
      <alignment vertical="center"/>
      <protection/>
    </xf>
    <xf numFmtId="0" fontId="45" fillId="0" borderId="10" xfId="0" applyFont="1" applyBorder="1" applyAlignment="1">
      <alignment vertical="center"/>
    </xf>
    <xf numFmtId="0" fontId="31" fillId="6" borderId="149" xfId="0" applyFont="1" applyFill="1" applyBorder="1" applyAlignment="1">
      <alignment horizontal="center"/>
    </xf>
    <xf numFmtId="0" fontId="31" fillId="6" borderId="150" xfId="0" applyFont="1" applyFill="1" applyBorder="1" applyAlignment="1">
      <alignment horizontal="center"/>
    </xf>
    <xf numFmtId="0" fontId="31" fillId="6" borderId="15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0" fontId="20" fillId="0" borderId="109" xfId="0" applyNumberFormat="1" applyFont="1" applyBorder="1" applyAlignment="1">
      <alignment horizontal="left"/>
    </xf>
    <xf numFmtId="20" fontId="20" fillId="0" borderId="4" xfId="0" applyNumberFormat="1" applyFont="1" applyBorder="1" applyAlignment="1">
      <alignment horizontal="left"/>
    </xf>
    <xf numFmtId="20" fontId="20" fillId="0" borderId="23" xfId="0" applyNumberFormat="1" applyFont="1" applyBorder="1" applyAlignment="1">
      <alignment horizontal="left"/>
    </xf>
    <xf numFmtId="0" fontId="20" fillId="0" borderId="22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109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14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115" xfId="0" applyFont="1" applyBorder="1" applyAlignment="1">
      <alignment horizontal="center"/>
    </xf>
    <xf numFmtId="184" fontId="20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4" fillId="0" borderId="122" xfId="0" applyFont="1" applyBorder="1" applyAlignment="1">
      <alignment horizontal="left"/>
    </xf>
    <xf numFmtId="0" fontId="34" fillId="0" borderId="123" xfId="0" applyFont="1" applyBorder="1" applyAlignment="1">
      <alignment horizontal="left"/>
    </xf>
    <xf numFmtId="0" fontId="34" fillId="0" borderId="152" xfId="0" applyFont="1" applyBorder="1" applyAlignment="1">
      <alignment horizontal="left"/>
    </xf>
    <xf numFmtId="10" fontId="20" fillId="0" borderId="109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14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15" xfId="0" applyFont="1" applyFill="1" applyBorder="1" applyAlignment="1">
      <alignment horizontal="center" vertical="center"/>
    </xf>
    <xf numFmtId="184" fontId="20" fillId="0" borderId="111" xfId="0" applyNumberFormat="1" applyFont="1" applyFill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24" xfId="0" applyNumberFormat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179" fontId="0" fillId="0" borderId="2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</cellXfs>
  <cellStyles count="2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uro" xfId="15"/>
    <cellStyle name="Euro_BANESTO 1 1107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-definido" xfId="23"/>
    <cellStyle name="Normal_Fecha de pago_1" xfId="24"/>
    <cellStyle name="Normal_TIPOS JUAN" xfId="25"/>
    <cellStyle name="Percent" xfId="26"/>
  </cellStyles>
  <dxfs count="2">
    <dxf>
      <font>
        <b/>
        <i/>
      </font>
      <fill>
        <patternFill>
          <bgColor rgb="FF33CCCC"/>
        </patternFill>
      </fill>
      <border/>
    </dxf>
    <dxf>
      <font>
        <b/>
        <i val="0"/>
      </font>
      <fill>
        <patternFill>
          <bgColor rgb="FFFFCC00"/>
        </patternFill>
      </fill>
      <border>
        <left style="hair">
          <color rgb="FFFF0000"/>
        </left>
        <right style="hair">
          <color rgb="FFFF0000"/>
        </right>
        <top style="hair"/>
        <bottom style="hair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72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'datos morosidad'!$B$7</c:f>
              <c:strCache>
                <c:ptCount val="1"/>
                <c:pt idx="0">
                  <c:v>15-30 días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'datos morosidad'!$C$6:$M$6</c:f>
              <c:strCache>
                <c:ptCount val="11"/>
                <c:pt idx="0">
                  <c:v>39417</c:v>
                </c:pt>
                <c:pt idx="1">
                  <c:v>39508</c:v>
                </c:pt>
                <c:pt idx="2">
                  <c:v>39600</c:v>
                </c:pt>
                <c:pt idx="3">
                  <c:v>39692</c:v>
                </c:pt>
                <c:pt idx="4">
                  <c:v>39783</c:v>
                </c:pt>
                <c:pt idx="5">
                  <c:v>39873</c:v>
                </c:pt>
                <c:pt idx="6">
                  <c:v>39965</c:v>
                </c:pt>
                <c:pt idx="7">
                  <c:v>40057</c:v>
                </c:pt>
                <c:pt idx="8">
                  <c:v>40148</c:v>
                </c:pt>
                <c:pt idx="9">
                  <c:v>40238</c:v>
                </c:pt>
                <c:pt idx="10">
                  <c:v>40330</c:v>
                </c:pt>
              </c:strCache>
            </c:strRef>
          </c:cat>
          <c:val>
            <c:numRef>
              <c:f>'datos morosidad'!$C$7:$M$7</c:f>
              <c:numCache>
                <c:ptCount val="11"/>
                <c:pt idx="0">
                  <c:v>0.0167</c:v>
                </c:pt>
                <c:pt idx="1">
                  <c:v>0.0366</c:v>
                </c:pt>
                <c:pt idx="2">
                  <c:v>0.0256</c:v>
                </c:pt>
                <c:pt idx="3">
                  <c:v>0.0432</c:v>
                </c:pt>
                <c:pt idx="4">
                  <c:v>0.03621961479838009</c:v>
                </c:pt>
                <c:pt idx="5">
                  <c:v>0.046586362688912926</c:v>
                </c:pt>
                <c:pt idx="6">
                  <c:v>0.038213255448461166</c:v>
                </c:pt>
                <c:pt idx="7">
                  <c:v>0.05584724126823427</c:v>
                </c:pt>
                <c:pt idx="8">
                  <c:v>0.024881321466683863</c:v>
                </c:pt>
                <c:pt idx="9">
                  <c:v>0.03950944680846389</c:v>
                </c:pt>
                <c:pt idx="10">
                  <c:v>0.023330618143268537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'datos morosidad'!$B$8</c:f>
              <c:strCache>
                <c:ptCount val="1"/>
                <c:pt idx="0">
                  <c:v>30-60 días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'datos morosidad'!$C$6:$M$6</c:f>
              <c:strCache>
                <c:ptCount val="11"/>
                <c:pt idx="0">
                  <c:v>39417</c:v>
                </c:pt>
                <c:pt idx="1">
                  <c:v>39508</c:v>
                </c:pt>
                <c:pt idx="2">
                  <c:v>39600</c:v>
                </c:pt>
                <c:pt idx="3">
                  <c:v>39692</c:v>
                </c:pt>
                <c:pt idx="4">
                  <c:v>39783</c:v>
                </c:pt>
                <c:pt idx="5">
                  <c:v>39873</c:v>
                </c:pt>
                <c:pt idx="6">
                  <c:v>39965</c:v>
                </c:pt>
                <c:pt idx="7">
                  <c:v>40057</c:v>
                </c:pt>
                <c:pt idx="8">
                  <c:v>40148</c:v>
                </c:pt>
                <c:pt idx="9">
                  <c:v>40238</c:v>
                </c:pt>
                <c:pt idx="10">
                  <c:v>40330</c:v>
                </c:pt>
              </c:strCache>
            </c:strRef>
          </c:cat>
          <c:val>
            <c:numRef>
              <c:f>'datos morosidad'!$C$8:$M$8</c:f>
              <c:numCache>
                <c:ptCount val="11"/>
                <c:pt idx="0">
                  <c:v>0.0033</c:v>
                </c:pt>
                <c:pt idx="1">
                  <c:v>0.0038</c:v>
                </c:pt>
                <c:pt idx="2">
                  <c:v>0.0088</c:v>
                </c:pt>
                <c:pt idx="3">
                  <c:v>0.0092</c:v>
                </c:pt>
                <c:pt idx="4">
                  <c:v>0.009142887726231029</c:v>
                </c:pt>
                <c:pt idx="5">
                  <c:v>0.019511960356778605</c:v>
                </c:pt>
                <c:pt idx="6">
                  <c:v>0.019789031568924417</c:v>
                </c:pt>
                <c:pt idx="7">
                  <c:v>0.01407532035096588</c:v>
                </c:pt>
                <c:pt idx="8">
                  <c:v>0.020456849922766564</c:v>
                </c:pt>
                <c:pt idx="9">
                  <c:v>0.02113812810765926</c:v>
                </c:pt>
                <c:pt idx="10">
                  <c:v>0.014399405306567624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'datos morosidad'!$B$9</c:f>
              <c:strCache>
                <c:ptCount val="1"/>
                <c:pt idx="0">
                  <c:v>60-90 días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morosidad'!$C$6:$M$6</c:f>
              <c:strCache>
                <c:ptCount val="11"/>
                <c:pt idx="0">
                  <c:v>39417</c:v>
                </c:pt>
                <c:pt idx="1">
                  <c:v>39508</c:v>
                </c:pt>
                <c:pt idx="2">
                  <c:v>39600</c:v>
                </c:pt>
                <c:pt idx="3">
                  <c:v>39692</c:v>
                </c:pt>
                <c:pt idx="4">
                  <c:v>39783</c:v>
                </c:pt>
                <c:pt idx="5">
                  <c:v>39873</c:v>
                </c:pt>
                <c:pt idx="6">
                  <c:v>39965</c:v>
                </c:pt>
                <c:pt idx="7">
                  <c:v>40057</c:v>
                </c:pt>
                <c:pt idx="8">
                  <c:v>40148</c:v>
                </c:pt>
                <c:pt idx="9">
                  <c:v>40238</c:v>
                </c:pt>
                <c:pt idx="10">
                  <c:v>40330</c:v>
                </c:pt>
              </c:strCache>
            </c:strRef>
          </c:cat>
          <c:val>
            <c:numRef>
              <c:f>'datos morosidad'!$C$9:$M$9</c:f>
              <c:numCache>
                <c:ptCount val="11"/>
                <c:pt idx="0">
                  <c:v>0</c:v>
                </c:pt>
                <c:pt idx="1">
                  <c:v>0.0156</c:v>
                </c:pt>
                <c:pt idx="2">
                  <c:v>0.0215</c:v>
                </c:pt>
                <c:pt idx="3">
                  <c:v>0.0235</c:v>
                </c:pt>
                <c:pt idx="4">
                  <c:v>0.033347785756582975</c:v>
                </c:pt>
                <c:pt idx="5">
                  <c:v>0.0377306180041057</c:v>
                </c:pt>
                <c:pt idx="6">
                  <c:v>0.016280242604953435</c:v>
                </c:pt>
                <c:pt idx="7">
                  <c:v>0.015657440056754162</c:v>
                </c:pt>
                <c:pt idx="8">
                  <c:v>0.011552199282841532</c:v>
                </c:pt>
                <c:pt idx="9">
                  <c:v>0.009096028279130518</c:v>
                </c:pt>
                <c:pt idx="10">
                  <c:v>0.010551854818609633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'datos morosidad'!$B$10</c:f>
              <c:strCache>
                <c:ptCount val="1"/>
                <c:pt idx="0">
                  <c:v>90-180 días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morosidad'!$C$6:$M$6</c:f>
              <c:strCache>
                <c:ptCount val="11"/>
                <c:pt idx="0">
                  <c:v>39417</c:v>
                </c:pt>
                <c:pt idx="1">
                  <c:v>39508</c:v>
                </c:pt>
                <c:pt idx="2">
                  <c:v>39600</c:v>
                </c:pt>
                <c:pt idx="3">
                  <c:v>39692</c:v>
                </c:pt>
                <c:pt idx="4">
                  <c:v>39783</c:v>
                </c:pt>
                <c:pt idx="5">
                  <c:v>39873</c:v>
                </c:pt>
                <c:pt idx="6">
                  <c:v>39965</c:v>
                </c:pt>
                <c:pt idx="7">
                  <c:v>40057</c:v>
                </c:pt>
                <c:pt idx="8">
                  <c:v>40148</c:v>
                </c:pt>
                <c:pt idx="9">
                  <c:v>40238</c:v>
                </c:pt>
                <c:pt idx="10">
                  <c:v>40330</c:v>
                </c:pt>
              </c:strCache>
            </c:strRef>
          </c:cat>
          <c:val>
            <c:numRef>
              <c:f>'datos morosidad'!$C$10:$M$10</c:f>
              <c:numCache>
                <c:ptCount val="11"/>
                <c:pt idx="0">
                  <c:v>0</c:v>
                </c:pt>
                <c:pt idx="1">
                  <c:v>0.0018</c:v>
                </c:pt>
                <c:pt idx="2">
                  <c:v>0.0048</c:v>
                </c:pt>
                <c:pt idx="3">
                  <c:v>0.018</c:v>
                </c:pt>
                <c:pt idx="4">
                  <c:v>0.004598002311064363</c:v>
                </c:pt>
                <c:pt idx="5">
                  <c:v>0.006678858920453366</c:v>
                </c:pt>
                <c:pt idx="6">
                  <c:v>0.03253380622519643</c:v>
                </c:pt>
                <c:pt idx="7">
                  <c:v>0.007663458477610923</c:v>
                </c:pt>
                <c:pt idx="8">
                  <c:v>0.010022232642039983</c:v>
                </c:pt>
                <c:pt idx="9">
                  <c:v>0.008302456491173981</c:v>
                </c:pt>
                <c:pt idx="10">
                  <c:v>0.00720465746502743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'datos morosidad'!$B$11</c:f>
              <c:strCache>
                <c:ptCount val="1"/>
                <c:pt idx="0">
                  <c:v>&gt; 180 días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morosidad'!$C$6:$M$6</c:f>
              <c:strCache>
                <c:ptCount val="11"/>
                <c:pt idx="0">
                  <c:v>39417</c:v>
                </c:pt>
                <c:pt idx="1">
                  <c:v>39508</c:v>
                </c:pt>
                <c:pt idx="2">
                  <c:v>39600</c:v>
                </c:pt>
                <c:pt idx="3">
                  <c:v>39692</c:v>
                </c:pt>
                <c:pt idx="4">
                  <c:v>39783</c:v>
                </c:pt>
                <c:pt idx="5">
                  <c:v>39873</c:v>
                </c:pt>
                <c:pt idx="6">
                  <c:v>39965</c:v>
                </c:pt>
                <c:pt idx="7">
                  <c:v>40057</c:v>
                </c:pt>
                <c:pt idx="8">
                  <c:v>40148</c:v>
                </c:pt>
                <c:pt idx="9">
                  <c:v>40238</c:v>
                </c:pt>
                <c:pt idx="10">
                  <c:v>40330</c:v>
                </c:pt>
              </c:strCache>
            </c:strRef>
          </c:cat>
          <c:val>
            <c:numRef>
              <c:f>'datos morosidad'!$C$11:$M$11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0.0002</c:v>
                </c:pt>
                <c:pt idx="3">
                  <c:v>0.002</c:v>
                </c:pt>
                <c:pt idx="4">
                  <c:v>0.01498478403340741</c:v>
                </c:pt>
                <c:pt idx="5">
                  <c:v>0.005538064732563676</c:v>
                </c:pt>
                <c:pt idx="6">
                  <c:v>0.007097317421912066</c:v>
                </c:pt>
                <c:pt idx="7">
                  <c:v>0.02085395298993955</c:v>
                </c:pt>
                <c:pt idx="8">
                  <c:v>0.02289284972164154</c:v>
                </c:pt>
                <c:pt idx="9">
                  <c:v>0.007003598697468887</c:v>
                </c:pt>
                <c:pt idx="10">
                  <c:v>0.007927042843365387</c:v>
                </c:pt>
              </c:numCache>
            </c:numRef>
          </c:val>
          <c:smooth val="0"/>
        </c:ser>
        <c:marker val="1"/>
        <c:axId val="22213879"/>
        <c:axId val="65707184"/>
      </c:lineChart>
      <c:dateAx>
        <c:axId val="2221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707184"/>
        <c:crosses val="autoZero"/>
        <c:auto val="0"/>
        <c:majorUnit val="3"/>
        <c:majorTimeUnit val="months"/>
        <c:noMultiLvlLbl val="0"/>
      </c:dateAx>
      <c:valAx>
        <c:axId val="65707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21387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18900000" scaled="1"/>
        </a:gradFill>
        <a:ln w="38100">
          <a:solidFill/>
        </a:ln>
      </c:spPr>
    </c:plotArea>
    <c:legend>
      <c:legendPos val="r"/>
      <c:layout>
        <c:manualLayout>
          <c:xMode val="edge"/>
          <c:yMode val="edge"/>
          <c:x val="0.09975"/>
          <c:y val="0.0585"/>
        </c:manualLayout>
      </c:layout>
      <c:overlay val="0"/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18900000" scaled="1"/>
        </a:gradFill>
        <a:ln w="38100">
          <a:solid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FF"/>
        </a:gs>
      </a:gsLst>
      <a:lin ang="18900000" scaled="1"/>
    </a:gradFill>
    <a:ln w="381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70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'datos morosidad'!$B$17</c:f>
              <c:strCache>
                <c:ptCount val="1"/>
                <c:pt idx="0">
                  <c:v>15-30 days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'datos morosidad'!$C$16:$M$16</c:f>
              <c:strCache>
                <c:ptCount val="11"/>
                <c:pt idx="0">
                  <c:v>Dec, 2007</c:v>
                </c:pt>
                <c:pt idx="1">
                  <c:v>Mar, 2008</c:v>
                </c:pt>
                <c:pt idx="2">
                  <c:v>Jun, 2008</c:v>
                </c:pt>
                <c:pt idx="3">
                  <c:v>Sep, 2008</c:v>
                </c:pt>
                <c:pt idx="4">
                  <c:v>Dec, 2008</c:v>
                </c:pt>
                <c:pt idx="5">
                  <c:v>Mar, 2009</c:v>
                </c:pt>
                <c:pt idx="6">
                  <c:v>Jun, 2009</c:v>
                </c:pt>
                <c:pt idx="7">
                  <c:v>Sep, 2009</c:v>
                </c:pt>
                <c:pt idx="8">
                  <c:v>Dec, 2009</c:v>
                </c:pt>
                <c:pt idx="9">
                  <c:v>Mar, 2010</c:v>
                </c:pt>
                <c:pt idx="10">
                  <c:v>Jun, 2010</c:v>
                </c:pt>
              </c:strCache>
            </c:strRef>
          </c:cat>
          <c:val>
            <c:numRef>
              <c:f>'datos morosidad'!$C$17:$M$17</c:f>
              <c:numCache>
                <c:ptCount val="11"/>
                <c:pt idx="0">
                  <c:v>0.0167</c:v>
                </c:pt>
                <c:pt idx="1">
                  <c:v>0.0366</c:v>
                </c:pt>
                <c:pt idx="2">
                  <c:v>0.0256</c:v>
                </c:pt>
                <c:pt idx="3">
                  <c:v>0.0432</c:v>
                </c:pt>
                <c:pt idx="4">
                  <c:v>0.03621961479838009</c:v>
                </c:pt>
                <c:pt idx="5">
                  <c:v>0.046586362688912926</c:v>
                </c:pt>
                <c:pt idx="6">
                  <c:v>0.038213255448461166</c:v>
                </c:pt>
                <c:pt idx="7">
                  <c:v>0.05584724126823427</c:v>
                </c:pt>
                <c:pt idx="8">
                  <c:v>0.024881321466683863</c:v>
                </c:pt>
                <c:pt idx="9">
                  <c:v>0.03950944680846389</c:v>
                </c:pt>
                <c:pt idx="10">
                  <c:v>0.02982795579609874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'datos morosidad'!$B$18</c:f>
              <c:strCache>
                <c:ptCount val="1"/>
                <c:pt idx="0">
                  <c:v>30-60 days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'datos morosidad'!$C$16:$M$16</c:f>
              <c:strCache>
                <c:ptCount val="11"/>
                <c:pt idx="0">
                  <c:v>Dec, 2007</c:v>
                </c:pt>
                <c:pt idx="1">
                  <c:v>Mar, 2008</c:v>
                </c:pt>
                <c:pt idx="2">
                  <c:v>Jun, 2008</c:v>
                </c:pt>
                <c:pt idx="3">
                  <c:v>Sep, 2008</c:v>
                </c:pt>
                <c:pt idx="4">
                  <c:v>Dec, 2008</c:v>
                </c:pt>
                <c:pt idx="5">
                  <c:v>Mar, 2009</c:v>
                </c:pt>
                <c:pt idx="6">
                  <c:v>Jun, 2009</c:v>
                </c:pt>
                <c:pt idx="7">
                  <c:v>Sep, 2009</c:v>
                </c:pt>
                <c:pt idx="8">
                  <c:v>Dec, 2009</c:v>
                </c:pt>
                <c:pt idx="9">
                  <c:v>Mar, 2010</c:v>
                </c:pt>
                <c:pt idx="10">
                  <c:v>Jun, 2010</c:v>
                </c:pt>
              </c:strCache>
            </c:strRef>
          </c:cat>
          <c:val>
            <c:numRef>
              <c:f>'datos morosidad'!$C$18:$M$18</c:f>
              <c:numCache>
                <c:ptCount val="11"/>
                <c:pt idx="0">
                  <c:v>0.0033</c:v>
                </c:pt>
                <c:pt idx="1">
                  <c:v>0.0038</c:v>
                </c:pt>
                <c:pt idx="2">
                  <c:v>0.0088</c:v>
                </c:pt>
                <c:pt idx="3">
                  <c:v>0.0092</c:v>
                </c:pt>
                <c:pt idx="4">
                  <c:v>0.009142887726231029</c:v>
                </c:pt>
                <c:pt idx="5">
                  <c:v>0.019511960356778605</c:v>
                </c:pt>
                <c:pt idx="6">
                  <c:v>0.019789031568924417</c:v>
                </c:pt>
                <c:pt idx="7">
                  <c:v>0.01407532035096588</c:v>
                </c:pt>
                <c:pt idx="8">
                  <c:v>0.020456849922766564</c:v>
                </c:pt>
                <c:pt idx="9">
                  <c:v>0.02113812810765926</c:v>
                </c:pt>
                <c:pt idx="10">
                  <c:v>0.02024125442077397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'datos morosidad'!$B$19</c:f>
              <c:strCache>
                <c:ptCount val="1"/>
                <c:pt idx="0">
                  <c:v>60-90 days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morosidad'!$C$16:$M$16</c:f>
              <c:strCache>
                <c:ptCount val="11"/>
                <c:pt idx="0">
                  <c:v>Dec, 2007</c:v>
                </c:pt>
                <c:pt idx="1">
                  <c:v>Mar, 2008</c:v>
                </c:pt>
                <c:pt idx="2">
                  <c:v>Jun, 2008</c:v>
                </c:pt>
                <c:pt idx="3">
                  <c:v>Sep, 2008</c:v>
                </c:pt>
                <c:pt idx="4">
                  <c:v>Dec, 2008</c:v>
                </c:pt>
                <c:pt idx="5">
                  <c:v>Mar, 2009</c:v>
                </c:pt>
                <c:pt idx="6">
                  <c:v>Jun, 2009</c:v>
                </c:pt>
                <c:pt idx="7">
                  <c:v>Sep, 2009</c:v>
                </c:pt>
                <c:pt idx="8">
                  <c:v>Dec, 2009</c:v>
                </c:pt>
                <c:pt idx="9">
                  <c:v>Mar, 2010</c:v>
                </c:pt>
                <c:pt idx="10">
                  <c:v>Jun, 2010</c:v>
                </c:pt>
              </c:strCache>
            </c:strRef>
          </c:cat>
          <c:val>
            <c:numRef>
              <c:f>'datos morosidad'!$C$19:$M$19</c:f>
              <c:numCache>
                <c:ptCount val="11"/>
                <c:pt idx="0">
                  <c:v>0</c:v>
                </c:pt>
                <c:pt idx="1">
                  <c:v>0.0156</c:v>
                </c:pt>
                <c:pt idx="2">
                  <c:v>0.0215</c:v>
                </c:pt>
                <c:pt idx="3">
                  <c:v>0.0235</c:v>
                </c:pt>
                <c:pt idx="4">
                  <c:v>0.033347785756582975</c:v>
                </c:pt>
                <c:pt idx="5">
                  <c:v>0.0377306180041057</c:v>
                </c:pt>
                <c:pt idx="6">
                  <c:v>0.016280242604953435</c:v>
                </c:pt>
                <c:pt idx="7">
                  <c:v>0.015657440056754162</c:v>
                </c:pt>
                <c:pt idx="8">
                  <c:v>0.011552199282841532</c:v>
                </c:pt>
                <c:pt idx="9">
                  <c:v>0.009096028279130518</c:v>
                </c:pt>
                <c:pt idx="10">
                  <c:v>0.008982657600125928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'datos morosidad'!$B$20</c:f>
              <c:strCache>
                <c:ptCount val="1"/>
                <c:pt idx="0">
                  <c:v>90-180 days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morosidad'!$C$16:$M$16</c:f>
              <c:strCache>
                <c:ptCount val="11"/>
                <c:pt idx="0">
                  <c:v>Dec, 2007</c:v>
                </c:pt>
                <c:pt idx="1">
                  <c:v>Mar, 2008</c:v>
                </c:pt>
                <c:pt idx="2">
                  <c:v>Jun, 2008</c:v>
                </c:pt>
                <c:pt idx="3">
                  <c:v>Sep, 2008</c:v>
                </c:pt>
                <c:pt idx="4">
                  <c:v>Dec, 2008</c:v>
                </c:pt>
                <c:pt idx="5">
                  <c:v>Mar, 2009</c:v>
                </c:pt>
                <c:pt idx="6">
                  <c:v>Jun, 2009</c:v>
                </c:pt>
                <c:pt idx="7">
                  <c:v>Sep, 2009</c:v>
                </c:pt>
                <c:pt idx="8">
                  <c:v>Dec, 2009</c:v>
                </c:pt>
                <c:pt idx="9">
                  <c:v>Mar, 2010</c:v>
                </c:pt>
                <c:pt idx="10">
                  <c:v>Jun, 2010</c:v>
                </c:pt>
              </c:strCache>
            </c:strRef>
          </c:cat>
          <c:val>
            <c:numRef>
              <c:f>'datos morosidad'!$C$20:$M$20</c:f>
              <c:numCache>
                <c:ptCount val="11"/>
                <c:pt idx="0">
                  <c:v>0</c:v>
                </c:pt>
                <c:pt idx="1">
                  <c:v>0.0018</c:v>
                </c:pt>
                <c:pt idx="2">
                  <c:v>0.0048</c:v>
                </c:pt>
                <c:pt idx="3">
                  <c:v>0.018</c:v>
                </c:pt>
                <c:pt idx="4">
                  <c:v>0.004598002311064363</c:v>
                </c:pt>
                <c:pt idx="5">
                  <c:v>0.006678858920453366</c:v>
                </c:pt>
                <c:pt idx="6">
                  <c:v>0.03253380622519643</c:v>
                </c:pt>
                <c:pt idx="7">
                  <c:v>0.007663458477610923</c:v>
                </c:pt>
                <c:pt idx="8">
                  <c:v>0.010022232642039983</c:v>
                </c:pt>
                <c:pt idx="9">
                  <c:v>0.008302456491173981</c:v>
                </c:pt>
                <c:pt idx="10">
                  <c:v>0.008457990091505642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'datos morosidad'!$B$21</c:f>
              <c:strCache>
                <c:ptCount val="1"/>
                <c:pt idx="0">
                  <c:v>&gt; 180 days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morosidad'!$C$16:$M$16</c:f>
              <c:strCache>
                <c:ptCount val="11"/>
                <c:pt idx="0">
                  <c:v>Dec, 2007</c:v>
                </c:pt>
                <c:pt idx="1">
                  <c:v>Mar, 2008</c:v>
                </c:pt>
                <c:pt idx="2">
                  <c:v>Jun, 2008</c:v>
                </c:pt>
                <c:pt idx="3">
                  <c:v>Sep, 2008</c:v>
                </c:pt>
                <c:pt idx="4">
                  <c:v>Dec, 2008</c:v>
                </c:pt>
                <c:pt idx="5">
                  <c:v>Mar, 2009</c:v>
                </c:pt>
                <c:pt idx="6">
                  <c:v>Jun, 2009</c:v>
                </c:pt>
                <c:pt idx="7">
                  <c:v>Sep, 2009</c:v>
                </c:pt>
                <c:pt idx="8">
                  <c:v>Dec, 2009</c:v>
                </c:pt>
                <c:pt idx="9">
                  <c:v>Mar, 2010</c:v>
                </c:pt>
                <c:pt idx="10">
                  <c:v>Jun, 2010</c:v>
                </c:pt>
              </c:strCache>
            </c:strRef>
          </c:cat>
          <c:val>
            <c:numRef>
              <c:f>'datos morosidad'!$C$21:$M$21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0.0002</c:v>
                </c:pt>
                <c:pt idx="3">
                  <c:v>0.002</c:v>
                </c:pt>
                <c:pt idx="4">
                  <c:v>0.01498478403340741</c:v>
                </c:pt>
                <c:pt idx="5">
                  <c:v>0.005538064732563676</c:v>
                </c:pt>
                <c:pt idx="6">
                  <c:v>0.007097317421912066</c:v>
                </c:pt>
                <c:pt idx="7">
                  <c:v>0.02085395298993955</c:v>
                </c:pt>
                <c:pt idx="8">
                  <c:v>0.02289284972164154</c:v>
                </c:pt>
                <c:pt idx="9">
                  <c:v>0.007003598697468887</c:v>
                </c:pt>
                <c:pt idx="10">
                  <c:v>0.007469088969870838</c:v>
                </c:pt>
              </c:numCache>
            </c:numRef>
          </c:val>
          <c:smooth val="0"/>
        </c:ser>
        <c:marker val="1"/>
        <c:axId val="54493745"/>
        <c:axId val="20681658"/>
      </c:lineChart>
      <c:catAx>
        <c:axId val="54493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0681658"/>
        <c:crosses val="autoZero"/>
        <c:auto val="1"/>
        <c:lblOffset val="100"/>
        <c:noMultiLvlLbl val="0"/>
      </c:catAx>
      <c:valAx>
        <c:axId val="20681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449374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18900000" scaled="1"/>
        </a:gradFill>
        <a:ln w="38100">
          <a:solidFill/>
        </a:ln>
      </c:spPr>
    </c:plotArea>
    <c:legend>
      <c:legendPos val="r"/>
      <c:layout>
        <c:manualLayout>
          <c:xMode val="edge"/>
          <c:yMode val="edge"/>
          <c:x val="0.07275"/>
          <c:y val="0.03525"/>
        </c:manualLayout>
      </c:layout>
      <c:overlay val="0"/>
      <c:spPr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18900000" scaled="1"/>
        </a:gradFill>
        <a:ln w="38100">
          <a:solid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FF"/>
        </a:gs>
      </a:gsLst>
      <a:lin ang="18900000" scaled="1"/>
    </a:gradFill>
    <a:ln w="381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19050</xdr:rowOff>
    </xdr:from>
    <xdr:to>
      <xdr:col>3</xdr:col>
      <xdr:colOff>552450</xdr:colOff>
      <xdr:row>4</xdr:row>
      <xdr:rowOff>66675</xdr:rowOff>
    </xdr:to>
    <xdr:pic>
      <xdr:nvPicPr>
        <xdr:cNvPr id="1" name="cmdAI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42900"/>
          <a:ext cx="13049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47625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19050</xdr:rowOff>
    </xdr:from>
    <xdr:to>
      <xdr:col>10</xdr:col>
      <xdr:colOff>57150</xdr:colOff>
      <xdr:row>3</xdr:row>
      <xdr:rowOff>19050</xdr:rowOff>
    </xdr:to>
    <xdr:pic>
      <xdr:nvPicPr>
        <xdr:cNvPr id="1" name="cmdR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80975"/>
          <a:ext cx="10096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428625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133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17</xdr:row>
      <xdr:rowOff>95250</xdr:rowOff>
    </xdr:from>
    <xdr:to>
      <xdr:col>4</xdr:col>
      <xdr:colOff>400050</xdr:colOff>
      <xdr:row>19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2952750"/>
          <a:ext cx="1314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1257300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00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1257300</xdr:colOff>
      <xdr:row>3</xdr:row>
      <xdr:rowOff>133350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00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0.911</cdr:x>
      <cdr:y>0.04575</cdr:y>
    </cdr:from>
    <cdr:to>
      <cdr:x>0.98275</cdr:x>
      <cdr:y>0.11425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105525" y="152400"/>
          <a:ext cx="485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419100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</xdr:row>
      <xdr:rowOff>0</xdr:rowOff>
    </xdr:from>
    <xdr:to>
      <xdr:col>4</xdr:col>
      <xdr:colOff>247650</xdr:colOff>
      <xdr:row>2</xdr:row>
      <xdr:rowOff>133350</xdr:rowOff>
    </xdr:to>
    <xdr:pic>
      <xdr:nvPicPr>
        <xdr:cNvPr id="2" name="cmdDatosBalan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190500"/>
          <a:ext cx="13716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1</xdr:col>
      <xdr:colOff>0</xdr:colOff>
      <xdr:row>73</xdr:row>
      <xdr:rowOff>95250</xdr:rowOff>
    </xdr:from>
    <xdr:to>
      <xdr:col>6</xdr:col>
      <xdr:colOff>981075</xdr:colOff>
      <xdr:row>92</xdr:row>
      <xdr:rowOff>123825</xdr:rowOff>
    </xdr:to>
    <xdr:graphicFrame>
      <xdr:nvGraphicFramePr>
        <xdr:cNvPr id="3" name="Chart 13"/>
        <xdr:cNvGraphicFramePr/>
      </xdr:nvGraphicFramePr>
      <xdr:xfrm>
        <a:off x="762000" y="14258925"/>
        <a:ext cx="6705600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0.92175</cdr:x>
      <cdr:y>0.0115</cdr:y>
    </cdr:from>
    <cdr:to>
      <cdr:x>0.997</cdr:x>
      <cdr:y>0.09725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0" y="28575"/>
          <a:ext cx="54292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428625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133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</xdr:row>
      <xdr:rowOff>0</xdr:rowOff>
    </xdr:from>
    <xdr:to>
      <xdr:col>4</xdr:col>
      <xdr:colOff>95250</xdr:colOff>
      <xdr:row>2</xdr:row>
      <xdr:rowOff>133350</xdr:rowOff>
    </xdr:to>
    <xdr:pic>
      <xdr:nvPicPr>
        <xdr:cNvPr id="2" name="cmdDatosBalan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190500"/>
          <a:ext cx="13811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1</xdr:col>
      <xdr:colOff>0</xdr:colOff>
      <xdr:row>75</xdr:row>
      <xdr:rowOff>0</xdr:rowOff>
    </xdr:from>
    <xdr:to>
      <xdr:col>6</xdr:col>
      <xdr:colOff>1038225</xdr:colOff>
      <xdr:row>95</xdr:row>
      <xdr:rowOff>0</xdr:rowOff>
    </xdr:to>
    <xdr:graphicFrame>
      <xdr:nvGraphicFramePr>
        <xdr:cNvPr id="3" name="Chart 13"/>
        <xdr:cNvGraphicFramePr/>
      </xdr:nvGraphicFramePr>
      <xdr:xfrm>
        <a:off x="762000" y="14001750"/>
        <a:ext cx="72390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62</xdr:row>
      <xdr:rowOff>180975</xdr:rowOff>
    </xdr:from>
    <xdr:to>
      <xdr:col>4</xdr:col>
      <xdr:colOff>333375</xdr:colOff>
      <xdr:row>77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124700" y="13154025"/>
          <a:ext cx="190500" cy="321945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51</xdr:row>
      <xdr:rowOff>180975</xdr:rowOff>
    </xdr:from>
    <xdr:to>
      <xdr:col>4</xdr:col>
      <xdr:colOff>285750</xdr:colOff>
      <xdr:row>56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172325" y="10915650"/>
          <a:ext cx="85725" cy="9620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142</xdr:row>
      <xdr:rowOff>152400</xdr:rowOff>
    </xdr:from>
    <xdr:to>
      <xdr:col>4</xdr:col>
      <xdr:colOff>333375</xdr:colOff>
      <xdr:row>157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7200900" y="29003625"/>
          <a:ext cx="104775" cy="287655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81</xdr:row>
      <xdr:rowOff>171450</xdr:rowOff>
    </xdr:from>
    <xdr:to>
      <xdr:col>4</xdr:col>
      <xdr:colOff>400050</xdr:colOff>
      <xdr:row>120</xdr:row>
      <xdr:rowOff>152400</xdr:rowOff>
    </xdr:to>
    <xdr:sp>
      <xdr:nvSpPr>
        <xdr:cNvPr id="4" name="AutoShape 6"/>
        <xdr:cNvSpPr>
          <a:spLocks/>
        </xdr:cNvSpPr>
      </xdr:nvSpPr>
      <xdr:spPr>
        <a:xfrm>
          <a:off x="7200900" y="17221200"/>
          <a:ext cx="171450" cy="749617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2676525</xdr:colOff>
      <xdr:row>18</xdr:row>
      <xdr:rowOff>95250</xdr:rowOff>
    </xdr:from>
    <xdr:to>
      <xdr:col>2</xdr:col>
      <xdr:colOff>971550</xdr:colOff>
      <xdr:row>19</xdr:row>
      <xdr:rowOff>180975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3771900"/>
          <a:ext cx="1314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122</xdr:row>
      <xdr:rowOff>190500</xdr:rowOff>
    </xdr:from>
    <xdr:to>
      <xdr:col>4</xdr:col>
      <xdr:colOff>361950</xdr:colOff>
      <xdr:row>138</xdr:row>
      <xdr:rowOff>171450</xdr:rowOff>
    </xdr:to>
    <xdr:sp>
      <xdr:nvSpPr>
        <xdr:cNvPr id="6" name="AutoShape 8"/>
        <xdr:cNvSpPr>
          <a:spLocks/>
        </xdr:cNvSpPr>
      </xdr:nvSpPr>
      <xdr:spPr>
        <a:xfrm>
          <a:off x="7115175" y="25155525"/>
          <a:ext cx="219075" cy="3105150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161</xdr:row>
      <xdr:rowOff>104775</xdr:rowOff>
    </xdr:from>
    <xdr:to>
      <xdr:col>4</xdr:col>
      <xdr:colOff>323850</xdr:colOff>
      <xdr:row>175</xdr:row>
      <xdr:rowOff>0</xdr:rowOff>
    </xdr:to>
    <xdr:sp>
      <xdr:nvSpPr>
        <xdr:cNvPr id="7" name="AutoShape 9"/>
        <xdr:cNvSpPr>
          <a:spLocks/>
        </xdr:cNvSpPr>
      </xdr:nvSpPr>
      <xdr:spPr>
        <a:xfrm>
          <a:off x="7172325" y="32613600"/>
          <a:ext cx="114300" cy="27146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183</xdr:row>
      <xdr:rowOff>28575</xdr:rowOff>
    </xdr:from>
    <xdr:to>
      <xdr:col>4</xdr:col>
      <xdr:colOff>333375</xdr:colOff>
      <xdr:row>188</xdr:row>
      <xdr:rowOff>95250</xdr:rowOff>
    </xdr:to>
    <xdr:sp>
      <xdr:nvSpPr>
        <xdr:cNvPr id="8" name="AutoShape 10"/>
        <xdr:cNvSpPr>
          <a:spLocks/>
        </xdr:cNvSpPr>
      </xdr:nvSpPr>
      <xdr:spPr>
        <a:xfrm>
          <a:off x="7162800" y="36995100"/>
          <a:ext cx="142875" cy="109537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174</xdr:row>
      <xdr:rowOff>85725</xdr:rowOff>
    </xdr:from>
    <xdr:to>
      <xdr:col>2</xdr:col>
      <xdr:colOff>1104900</xdr:colOff>
      <xdr:row>177</xdr:row>
      <xdr:rowOff>190500</xdr:rowOff>
    </xdr:to>
    <xdr:sp>
      <xdr:nvSpPr>
        <xdr:cNvPr id="9" name="Line 23"/>
        <xdr:cNvSpPr>
          <a:spLocks/>
        </xdr:cNvSpPr>
      </xdr:nvSpPr>
      <xdr:spPr>
        <a:xfrm>
          <a:off x="5314950" y="352139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1123950</xdr:colOff>
      <xdr:row>178</xdr:row>
      <xdr:rowOff>0</xdr:rowOff>
    </xdr:from>
    <xdr:to>
      <xdr:col>8</xdr:col>
      <xdr:colOff>19050</xdr:colOff>
      <xdr:row>178</xdr:row>
      <xdr:rowOff>0</xdr:rowOff>
    </xdr:to>
    <xdr:sp>
      <xdr:nvSpPr>
        <xdr:cNvPr id="10" name="Line 24"/>
        <xdr:cNvSpPr>
          <a:spLocks/>
        </xdr:cNvSpPr>
      </xdr:nvSpPr>
      <xdr:spPr>
        <a:xfrm>
          <a:off x="5334000" y="35937825"/>
          <a:ext cx="612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175</xdr:row>
      <xdr:rowOff>38100</xdr:rowOff>
    </xdr:from>
    <xdr:to>
      <xdr:col>8</xdr:col>
      <xdr:colOff>0</xdr:colOff>
      <xdr:row>178</xdr:row>
      <xdr:rowOff>9525</xdr:rowOff>
    </xdr:to>
    <xdr:sp>
      <xdr:nvSpPr>
        <xdr:cNvPr id="11" name="Line 25"/>
        <xdr:cNvSpPr>
          <a:spLocks/>
        </xdr:cNvSpPr>
      </xdr:nvSpPr>
      <xdr:spPr>
        <a:xfrm flipV="1">
          <a:off x="11439525" y="35366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165</xdr:row>
      <xdr:rowOff>28575</xdr:rowOff>
    </xdr:from>
    <xdr:to>
      <xdr:col>2</xdr:col>
      <xdr:colOff>942975</xdr:colOff>
      <xdr:row>170</xdr:row>
      <xdr:rowOff>104775</xdr:rowOff>
    </xdr:to>
    <xdr:sp>
      <xdr:nvSpPr>
        <xdr:cNvPr id="12" name="Line 26"/>
        <xdr:cNvSpPr>
          <a:spLocks/>
        </xdr:cNvSpPr>
      </xdr:nvSpPr>
      <xdr:spPr>
        <a:xfrm>
          <a:off x="5143500" y="33337500"/>
          <a:ext cx="95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170</xdr:row>
      <xdr:rowOff>95250</xdr:rowOff>
    </xdr:from>
    <xdr:to>
      <xdr:col>7</xdr:col>
      <xdr:colOff>866775</xdr:colOff>
      <xdr:row>170</xdr:row>
      <xdr:rowOff>95250</xdr:rowOff>
    </xdr:to>
    <xdr:sp>
      <xdr:nvSpPr>
        <xdr:cNvPr id="13" name="Line 27"/>
        <xdr:cNvSpPr>
          <a:spLocks/>
        </xdr:cNvSpPr>
      </xdr:nvSpPr>
      <xdr:spPr>
        <a:xfrm>
          <a:off x="5143500" y="34394775"/>
          <a:ext cx="607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169</xdr:row>
      <xdr:rowOff>190500</xdr:rowOff>
    </xdr:from>
    <xdr:to>
      <xdr:col>7</xdr:col>
      <xdr:colOff>857250</xdr:colOff>
      <xdr:row>170</xdr:row>
      <xdr:rowOff>95250</xdr:rowOff>
    </xdr:to>
    <xdr:sp>
      <xdr:nvSpPr>
        <xdr:cNvPr id="14" name="Line 28"/>
        <xdr:cNvSpPr>
          <a:spLocks/>
        </xdr:cNvSpPr>
      </xdr:nvSpPr>
      <xdr:spPr>
        <a:xfrm flipH="1" flipV="1">
          <a:off x="11201400" y="34290000"/>
          <a:ext cx="9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59</xdr:row>
      <xdr:rowOff>47625</xdr:rowOff>
    </xdr:from>
    <xdr:to>
      <xdr:col>2</xdr:col>
      <xdr:colOff>847725</xdr:colOff>
      <xdr:row>60</xdr:row>
      <xdr:rowOff>190500</xdr:rowOff>
    </xdr:to>
    <xdr:sp>
      <xdr:nvSpPr>
        <xdr:cNvPr id="15" name="Line 29"/>
        <xdr:cNvSpPr>
          <a:spLocks/>
        </xdr:cNvSpPr>
      </xdr:nvSpPr>
      <xdr:spPr>
        <a:xfrm flipV="1">
          <a:off x="5057775" y="123920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866775</xdr:colOff>
      <xdr:row>59</xdr:row>
      <xdr:rowOff>38100</xdr:rowOff>
    </xdr:from>
    <xdr:to>
      <xdr:col>5</xdr:col>
      <xdr:colOff>619125</xdr:colOff>
      <xdr:row>59</xdr:row>
      <xdr:rowOff>38100</xdr:rowOff>
    </xdr:to>
    <xdr:sp>
      <xdr:nvSpPr>
        <xdr:cNvPr id="16" name="Line 30"/>
        <xdr:cNvSpPr>
          <a:spLocks/>
        </xdr:cNvSpPr>
      </xdr:nvSpPr>
      <xdr:spPr>
        <a:xfrm>
          <a:off x="5076825" y="123825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59</xdr:row>
      <xdr:rowOff>47625</xdr:rowOff>
    </xdr:from>
    <xdr:to>
      <xdr:col>5</xdr:col>
      <xdr:colOff>628650</xdr:colOff>
      <xdr:row>60</xdr:row>
      <xdr:rowOff>28575</xdr:rowOff>
    </xdr:to>
    <xdr:sp>
      <xdr:nvSpPr>
        <xdr:cNvPr id="17" name="Line 31"/>
        <xdr:cNvSpPr>
          <a:spLocks/>
        </xdr:cNvSpPr>
      </xdr:nvSpPr>
      <xdr:spPr>
        <a:xfrm>
          <a:off x="8105775" y="123920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cosantander.es/" TargetMode="Externa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umgarcia@gruposantander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F87"/>
  <sheetViews>
    <sheetView workbookViewId="0" topLeftCell="A1">
      <selection activeCell="A1" sqref="A1"/>
    </sheetView>
  </sheetViews>
  <sheetFormatPr defaultColWidth="11.421875" defaultRowHeight="12.75"/>
  <cols>
    <col min="1" max="1" width="40.28125" style="0" bestFit="1" customWidth="1"/>
    <col min="2" max="2" width="44.421875" style="0" bestFit="1" customWidth="1"/>
    <col min="5" max="5" width="37.140625" style="0" bestFit="1" customWidth="1"/>
    <col min="6" max="6" width="35.140625" style="0" bestFit="1" customWidth="1"/>
  </cols>
  <sheetData>
    <row r="1" spans="1:2" ht="12.75">
      <c r="A1" t="s">
        <v>1238</v>
      </c>
      <c r="B1" t="s">
        <v>1238</v>
      </c>
    </row>
    <row r="2" spans="1:2" ht="12.75">
      <c r="A2" t="s">
        <v>1239</v>
      </c>
      <c r="B2" t="s">
        <v>1240</v>
      </c>
    </row>
    <row r="3" spans="1:6" ht="12.75">
      <c r="A3" t="s">
        <v>1241</v>
      </c>
      <c r="B3" t="s">
        <v>1242</v>
      </c>
      <c r="E3" t="s">
        <v>1241</v>
      </c>
      <c r="F3" t="s">
        <v>1242</v>
      </c>
    </row>
    <row r="4" spans="1:6" ht="12.75">
      <c r="A4" s="674" t="str">
        <f>"&lt;isin&gt;"&amp;'CNMV ESP'!$A$48&amp;"&lt;/isin&gt;"</f>
        <v>&lt;isin&gt;ES0330866015&lt;/isin&gt;</v>
      </c>
      <c r="B4" s="674" t="str">
        <f>A4</f>
        <v>&lt;isin&gt;ES0330866015&lt;/isin&gt;</v>
      </c>
      <c r="E4" s="674" t="str">
        <f>"&lt;isin&gt;"&amp;'CNMV ESP'!$A$46&amp;"&lt;/isin&gt;"</f>
        <v>&lt;isin&gt;ES0330866007&lt;/isin&gt;</v>
      </c>
      <c r="F4" s="674" t="s">
        <v>1245</v>
      </c>
    </row>
    <row r="5" spans="1:6" ht="12.75">
      <c r="A5" t="str">
        <f>"&lt;fecha&gt;"&amp;TEXT(Español!$G$14,"aaaammdd")&amp;"&lt;/fecha&gt;"</f>
        <v>&lt;fecha&gt;20100621&lt;/fecha&gt;</v>
      </c>
      <c r="B5" t="str">
        <f>"&lt;fecha&gt;"&amp;TEXT(Español!$G$14,"aaaammdd")&amp;"&lt;/fecha&gt;"</f>
        <v>&lt;fecha&gt;20100621&lt;/fecha&gt;</v>
      </c>
      <c r="E5" t="str">
        <f>"&lt;fecha&gt;"&amp;TEXT(Español!$G$14,"aaaammdd")&amp;"&lt;/fecha&gt;"</f>
        <v>&lt;fecha&gt;20100621&lt;/fecha&gt;</v>
      </c>
      <c r="F5" t="str">
        <f>"&lt;fecha&gt;"&amp;TEXT(Español!$G$14,"aaaammdd")&amp;"&lt;/fecha&gt;"</f>
        <v>&lt;fecha&gt;20100621&lt;/fecha&gt;</v>
      </c>
    </row>
    <row r="6" spans="1:6" ht="12.75">
      <c r="A6" t="str">
        <f>"&lt;fechafin&gt;"&amp;TEXT(Español!$G$18,"aaaammdd")&amp;"&lt;/fechafin&gt;"</f>
        <v>&lt;fechafin&gt;20100920&lt;/fechafin&gt;</v>
      </c>
      <c r="B6" t="str">
        <f>"&lt;tasamensual&gt;"&amp;INT(100*'CNMV ESP'!$C$97/12)&amp;"."&amp;100*(ROUND(100*'CNMV ESP'!$C$97/12-INT(100*'CNMV ESP'!$C$97/12),2))&amp;"&lt;/tasamensual&gt;"</f>
        <v>&lt;tasamensual&gt;0.96&lt;/tasamensual&gt;</v>
      </c>
      <c r="E6" t="str">
        <f>"&lt;fechafin&gt;"&amp;TEXT(Español!$G$18,"aaaammdd")&amp;"&lt;/fechafin&gt;"</f>
        <v>&lt;fechafin&gt;20100920&lt;/fechafin&gt;</v>
      </c>
      <c r="F6" t="str">
        <f>"&lt;tasamensual&gt;"&amp;INT(100*'CNMV ESP'!$C$97/12)&amp;"."&amp;100*(ROUND(100*'CNMV ESP'!$C$97/12-INT(100*'CNMV ESP'!$C$97/12),2))&amp;"&lt;/tasamensual&gt;"</f>
        <v>&lt;tasamensual&gt;0.96&lt;/tasamensual&gt;</v>
      </c>
    </row>
    <row r="7" spans="1:6" ht="12.75">
      <c r="A7" t="str">
        <f>"&lt;flujonominal&gt;"&amp;'CNMV ESP'!$J$66&amp;"&lt;/flujonominal&gt;"</f>
        <v>&lt;flujonominal&gt;.247469&lt;/flujonominal&gt;</v>
      </c>
      <c r="B7" t="str">
        <f>"&lt;vidamedia&gt;"&amp;INT(Español!$G$26)&amp;"."&amp;LEFT(TEXT(100*(TRUNC(100*ROUND(Español!$G$26,2))/100-TRUNC(Español!$G$26)),"00"),2)&amp;"&lt;/vidamedia&gt;"</f>
        <v>&lt;vidamedia&gt;1.18&lt;/vidamedia&gt;</v>
      </c>
      <c r="C7" s="55"/>
      <c r="E7" t="str">
        <f>"&lt;flujonominal&gt;"&amp;'CNMV ESP'!$J$65&amp;"&lt;/flujonominal&gt;"</f>
        <v>&lt;flujonominal&gt;.000000&lt;/flujonominal&gt;</v>
      </c>
      <c r="F7" t="s">
        <v>1338</v>
      </c>
    </row>
    <row r="8" spans="1:6" ht="12.75">
      <c r="A8" t="str">
        <f>"&lt;flujoporcentaje&gt;"&amp;'CNMV ESP'!$J$66&amp;"&lt;/flujoporcentaje&gt;"</f>
        <v>&lt;flujoporcentaje&gt;.247469&lt;/flujoporcentaje&gt;</v>
      </c>
      <c r="B8" t="str">
        <f>"&lt;tasaanual&gt;"&amp;INT(100*'CNMV ESP'!$C$96)&amp;"."&amp;100*(ROUND(100*'CNMV ESP'!$C$96-INT(100*'CNMV ESP'!$C$96),2))&amp;"&lt;/tasaanual&gt;"</f>
        <v>&lt;tasaanual&gt;11.1&lt;/tasaanual&gt;</v>
      </c>
      <c r="E8" t="str">
        <f>"&lt;flujoporcentaje&gt;"&amp;'CNMV ESP'!$J$65&amp;"&lt;/flujoporcentaje&gt;"</f>
        <v>&lt;flujoporcentaje&gt;.000000&lt;/flujoporcentaje&gt;</v>
      </c>
      <c r="F8" t="str">
        <f>"&lt;tasaanual&gt;"&amp;INT(100*'CNMV ESP'!$C$96)&amp;"."&amp;100*(ROUND(100*'CNMV ESP'!$C$96-INT(100*'CNMV ESP'!$C$96),2))&amp;"&lt;/tasaanual&gt;"</f>
        <v>&lt;tasaanual&gt;11.1&lt;/tasaanual&gt;</v>
      </c>
    </row>
    <row r="9" spans="1:6" ht="12.75">
      <c r="A9" t="str">
        <f>"&lt;retencion&gt;"&amp;"19"&amp;"&lt;/retencion&gt;"</f>
        <v>&lt;retencion&gt;19&lt;/retencion&gt;</v>
      </c>
      <c r="B9" t="str">
        <f>"&lt;nominalunitario&gt;"&amp;INT('CNMV ESP'!$E$47)&amp;"."&amp;TEXT((ROUND(100*'CNMV ESP'!$E$47,0)-100*INT('CNMV ESP'!$E$47)),"00")&amp;"&lt;/nominalunitario&gt;"</f>
        <v>&lt;nominalunitario&gt;51667.23&lt;/nominalunitario&gt;</v>
      </c>
      <c r="E9" t="str">
        <f>"&lt;retencion&gt;"&amp;"18"&amp;"&lt;/retencion&gt;"</f>
        <v>&lt;retencion&gt;18&lt;/retencion&gt;</v>
      </c>
      <c r="F9" t="str">
        <f>"&lt;nominalunitario&gt;"&amp;INT('CNMV ESP'!$E$45)&amp;"."&amp;TEXT((ROUND(100*'CNMV ESP'!$E$45,0)-100*INT('CNMV ESP'!$E$45)),"00")&amp;"&lt;/nominalunitario&gt;"</f>
        <v>&lt;nominalunitario&gt;0.00&lt;/nominalunitario&gt;</v>
      </c>
    </row>
    <row r="10" spans="1:6" ht="12.75">
      <c r="A10" t="str">
        <f>"&lt;tipofacial&gt;"&amp;'CNMV ESP'!$K$66&amp;"&lt;/tipofacial&gt;"</f>
        <v>&lt;tipofacial&gt;.979&lt;/tipofacial&gt;</v>
      </c>
      <c r="B10" t="str">
        <f>"&lt;tasahistorica&gt;"&amp;INT(100*'CNMV ESP'!$C$98)&amp;"."&amp;TEXT(100*(ROUND(100*'CNMV ESP'!$C$98-INT(100*'CNMV ESP'!$C$98),2)),"00")&amp;"&lt;/tasahistorica&gt;"</f>
        <v>&lt;tasahistorica&gt;14.20&lt;/tasahistorica&gt;</v>
      </c>
      <c r="E10" t="str">
        <f>"&lt;tipofacial&gt;"&amp;'CNMV ESP'!$K$65&amp;"&lt;/tipofacial&gt;"</f>
        <v>&lt;tipofacial&gt;.000&lt;/tipofacial&gt;</v>
      </c>
      <c r="F10" t="str">
        <f>"&lt;tasahistorica&gt;"&amp;INT(100*'CNMV ESP'!$C$98)&amp;"."&amp;TEXT(100*(ROUND(100*'CNMV ESP'!$C$98-INT(100*'CNMV ESP'!$C$98),2)),"00")&amp;"&lt;/tasahistorica&gt;"</f>
        <v>&lt;tasahistorica&gt;14.20&lt;/tasahistorica&gt;</v>
      </c>
    </row>
    <row r="11" spans="1:6" ht="12.75">
      <c r="A11" t="str">
        <f>"&lt;/tipo&gt;"</f>
        <v>&lt;/tipo&gt;</v>
      </c>
      <c r="B11" t="s">
        <v>1243</v>
      </c>
      <c r="E11" t="str">
        <f>"&lt;/tipo&gt;"</f>
        <v>&lt;/tipo&gt;</v>
      </c>
      <c r="F11" t="s">
        <v>1243</v>
      </c>
    </row>
    <row r="12" spans="1:2" ht="12.75">
      <c r="A12" t="s">
        <v>1241</v>
      </c>
      <c r="B12" t="s">
        <v>1242</v>
      </c>
    </row>
    <row r="13" spans="1:2" ht="12.75">
      <c r="A13" s="674" t="str">
        <f>"&lt;isin&gt;"&amp;'CNMV ESP'!$A$50&amp;"&lt;/isin&gt;"</f>
        <v>&lt;isin&gt;ES0330866023&lt;/isin&gt;</v>
      </c>
      <c r="B13" s="674" t="str">
        <f>A13</f>
        <v>&lt;isin&gt;ES0330866023&lt;/isin&gt;</v>
      </c>
    </row>
    <row r="14" spans="1:2" ht="12.75">
      <c r="A14" t="str">
        <f>"&lt;fecha&gt;"&amp;TEXT(Español!$G$14,"aaaammdd")&amp;"&lt;/fecha&gt;"</f>
        <v>&lt;fecha&gt;20100621&lt;/fecha&gt;</v>
      </c>
      <c r="B14" t="str">
        <f>"&lt;fecha&gt;"&amp;TEXT(Español!$G$14,"aaaammdd")&amp;"&lt;/fecha&gt;"</f>
        <v>&lt;fecha&gt;20100621&lt;/fecha&gt;</v>
      </c>
    </row>
    <row r="15" spans="1:2" ht="12.75">
      <c r="A15" t="str">
        <f>"&lt;fechafin&gt;"&amp;TEXT(Español!$G$18,"aaaammdd")&amp;"&lt;/fechafin&gt;"</f>
        <v>&lt;fechafin&gt;20100920&lt;/fechafin&gt;</v>
      </c>
      <c r="B15" t="str">
        <f>"&lt;tasamensual&gt;"&amp;INT(100*'CNMV ESP'!$C$97/12)&amp;"."&amp;100*(ROUND(100*'CNMV ESP'!$C$97/12-INT(100*'CNMV ESP'!$C$97/12),2))&amp;"&lt;/tasamensual&gt;"</f>
        <v>&lt;tasamensual&gt;0.96&lt;/tasamensual&gt;</v>
      </c>
    </row>
    <row r="16" spans="1:2" ht="12.75">
      <c r="A16" t="str">
        <f>"&lt;flujonominal&gt;"&amp;'CNMV ESP'!$J$67&amp;"&lt;/flujonominal&gt;"</f>
        <v>&lt;flujonominal&gt;.272747&lt;/flujonominal&gt;</v>
      </c>
      <c r="B16" t="str">
        <f>"&lt;vidamedia&gt;"&amp;INT(Español!$G$27)&amp;"."&amp;LEFT(TEXT(100*(TRUNC(100*ROUND(Español!$G$27,2))/100-TRUNC(Español!$G$27)),"00"),2)&amp;"&lt;/vidamedia&gt;"</f>
        <v>&lt;vidamedia&gt;2.13&lt;/vidamedia&gt;</v>
      </c>
    </row>
    <row r="17" spans="1:2" ht="12.75">
      <c r="A17" t="str">
        <f>"&lt;flujoporcentaje&gt;"&amp;'CNMV ESP'!$J$67&amp;"&lt;/flujoporcentaje&gt;"</f>
        <v>&lt;flujoporcentaje&gt;.272747&lt;/flujoporcentaje&gt;</v>
      </c>
      <c r="B17" t="str">
        <f>"&lt;tasaanual&gt;"&amp;INT(100*'CNMV ESP'!$C$96)&amp;"."&amp;100*(ROUND(100*'CNMV ESP'!$C$96-INT(100*'CNMV ESP'!$C$96),2))&amp;"&lt;/tasaanual&gt;"</f>
        <v>&lt;tasaanual&gt;11.1&lt;/tasaanual&gt;</v>
      </c>
    </row>
    <row r="18" spans="1:2" ht="12.75">
      <c r="A18" t="str">
        <f>"&lt;retencion&gt;"&amp;"19"&amp;"&lt;/retencion&gt;"</f>
        <v>&lt;retencion&gt;19&lt;/retencion&gt;</v>
      </c>
      <c r="B18" t="str">
        <f>"&lt;nominalunitario&gt;"&amp;INT('CNMV ESP'!$E$49)&amp;"."&amp;TEXT((ROUND(100*'CNMV ESP'!$E$49,0)-100*INT('CNMV ESP'!$E$49)),"00")&amp;"&lt;/nominalunitario&gt;"</f>
        <v>&lt;nominalunitario&gt;100000.00&lt;/nominalunitario&gt;</v>
      </c>
    </row>
    <row r="19" spans="1:2" ht="12.75">
      <c r="A19" t="str">
        <f>"&lt;tipofacial&gt;"&amp;'CNMV ESP'!$K$67&amp;"&lt;/tipofacial&gt;"</f>
        <v>&lt;tipofacial&gt;1.079&lt;/tipofacial&gt;</v>
      </c>
      <c r="B19" t="str">
        <f>"&lt;tasahistorica&gt;"&amp;INT(100*'CNMV ESP'!$C$98)&amp;"."&amp;TEXT(100*(ROUND(100*'CNMV ESP'!$C$98-INT(100*'CNMV ESP'!$C$98),2)),"00")&amp;"&lt;/tasahistorica&gt;"</f>
        <v>&lt;tasahistorica&gt;14.20&lt;/tasahistorica&gt;</v>
      </c>
    </row>
    <row r="20" spans="1:2" ht="12.75">
      <c r="A20" t="str">
        <f>"&lt;/tipo&gt;"</f>
        <v>&lt;/tipo&gt;</v>
      </c>
      <c r="B20" t="s">
        <v>1243</v>
      </c>
    </row>
    <row r="21" spans="1:2" ht="12.75">
      <c r="A21" t="s">
        <v>1241</v>
      </c>
      <c r="B21" t="s">
        <v>1242</v>
      </c>
    </row>
    <row r="22" spans="1:2" ht="12.75">
      <c r="A22" s="674" t="str">
        <f>"&lt;isin&gt;"&amp;'CNMV ESP'!$A$52&amp;"&lt;/isin&gt;"</f>
        <v>&lt;isin&gt;ES0330866031&lt;/isin&gt;</v>
      </c>
      <c r="B22" s="674" t="str">
        <f>A22</f>
        <v>&lt;isin&gt;ES0330866031&lt;/isin&gt;</v>
      </c>
    </row>
    <row r="23" spans="1:2" ht="12.75">
      <c r="A23" t="str">
        <f>"&lt;fecha&gt;"&amp;TEXT(Español!$G$14,"aaaammdd")&amp;"&lt;/fecha&gt;"</f>
        <v>&lt;fecha&gt;20100621&lt;/fecha&gt;</v>
      </c>
      <c r="B23" t="str">
        <f>"&lt;fecha&gt;"&amp;TEXT(Español!$G$14,"aaaammdd")&amp;"&lt;/fecha&gt;"</f>
        <v>&lt;fecha&gt;20100621&lt;/fecha&gt;</v>
      </c>
    </row>
    <row r="24" spans="1:2" ht="12.75">
      <c r="A24" t="str">
        <f>"&lt;fechafin&gt;"&amp;TEXT(Español!$G$18,"aaaammdd")&amp;"&lt;/fechafin&gt;"</f>
        <v>&lt;fechafin&gt;20100920&lt;/fechafin&gt;</v>
      </c>
      <c r="B24" t="str">
        <f>"&lt;tasamensual&gt;"&amp;INT(100*'CNMV ESP'!$C$97/12)&amp;"."&amp;100*(ROUND(100*'CNMV ESP'!$C$97/12-INT(100*'CNMV ESP'!$C$97/12),2))&amp;"&lt;/tasamensual&gt;"</f>
        <v>&lt;tasamensual&gt;0.96&lt;/tasamensual&gt;</v>
      </c>
    </row>
    <row r="25" spans="1:2" ht="12.75">
      <c r="A25" t="str">
        <f>"&lt;flujonominal&gt;"&amp;'CNMV ESP'!$J$68&amp;"&lt;/flujonominal&gt;"</f>
        <v>&lt;flujonominal&gt;.386497&lt;/flujonominal&gt;</v>
      </c>
      <c r="B25" t="str">
        <f>"&lt;vidamedia&gt;"&amp;INT(Español!$G$28)&amp;"."&amp;LEFT(TEXT(100*(TRUNC(100*ROUND(Español!$G$28,2))/100-TRUNC(Español!$G$28)),"00"),2)&amp;"&lt;/vidamedia&gt;"</f>
        <v>&lt;vidamedia&gt;2.13&lt;/vidamedia&gt;</v>
      </c>
    </row>
    <row r="26" spans="1:2" ht="12.75">
      <c r="A26" t="str">
        <f>"&lt;flujoporcentaje&gt;"&amp;'CNMV ESP'!$J$68&amp;"&lt;/flujoporcentaje&gt;"</f>
        <v>&lt;flujoporcentaje&gt;.386497&lt;/flujoporcentaje&gt;</v>
      </c>
      <c r="B26" t="str">
        <f>"&lt;tasaanual&gt;"&amp;INT(100*'CNMV ESP'!$C$96)&amp;"."&amp;100*(ROUND(100*'CNMV ESP'!$C$96-INT(100*'CNMV ESP'!$C$96),2))&amp;"&lt;/tasaanual&gt;"</f>
        <v>&lt;tasaanual&gt;11.1&lt;/tasaanual&gt;</v>
      </c>
    </row>
    <row r="27" spans="1:2" ht="12.75">
      <c r="A27" t="str">
        <f>"&lt;retencion&gt;"&amp;"19"&amp;"&lt;/retencion&gt;"</f>
        <v>&lt;retencion&gt;19&lt;/retencion&gt;</v>
      </c>
      <c r="B27" t="str">
        <f>"&lt;nominalunitario&gt;"&amp;INT('CNMV ESP'!$E$51)&amp;"."&amp;TEXT((ROUND(100*'CNMV ESP'!$E$51,0)-100*INT('CNMV ESP'!$E$51)),"00")&amp;"&lt;/nominalunitario&gt;"</f>
        <v>&lt;nominalunitario&gt;100000.00&lt;/nominalunitario&gt;</v>
      </c>
    </row>
    <row r="28" spans="1:3" ht="12.75">
      <c r="A28" t="str">
        <f>"&lt;tipofacial&gt;"&amp;'CNMV ESP'!$K$68&amp;"&lt;/tipofacial&gt;"</f>
        <v>&lt;tipofacial&gt;1.529&lt;/tipofacial&gt;</v>
      </c>
      <c r="B28" t="str">
        <f>"&lt;tasahistorica&gt;"&amp;INT(100*'CNMV ESP'!$C$98)&amp;"."&amp;TEXT(100*(ROUND(100*'CNMV ESP'!$C$98-INT(100*'CNMV ESP'!$C$98),2)),"00")&amp;"&lt;/tasahistorica&gt;"</f>
        <v>&lt;tasahistorica&gt;14.20&lt;/tasahistorica&gt;</v>
      </c>
      <c r="C28" s="676"/>
    </row>
    <row r="29" spans="1:2" ht="12.75">
      <c r="A29" t="str">
        <f>"&lt;/tipo&gt;"</f>
        <v>&lt;/tipo&gt;</v>
      </c>
      <c r="B29" t="s">
        <v>1243</v>
      </c>
    </row>
    <row r="30" spans="1:2" ht="12.75">
      <c r="A30" t="s">
        <v>1241</v>
      </c>
      <c r="B30" t="s">
        <v>1242</v>
      </c>
    </row>
    <row r="31" spans="1:2" ht="12.75">
      <c r="A31" s="674" t="str">
        <f>"&lt;isin&gt;"&amp;'CNMV ESP'!$A$54&amp;"&lt;/isin&gt;"</f>
        <v>&lt;isin&gt;ES0330866049&lt;/isin&gt;</v>
      </c>
      <c r="B31" s="674" t="str">
        <f>A31</f>
        <v>&lt;isin&gt;ES0330866049&lt;/isin&gt;</v>
      </c>
    </row>
    <row r="32" spans="1:2" ht="12.75">
      <c r="A32" t="str">
        <f>"&lt;fecha&gt;"&amp;TEXT(Español!$G$14,"aaaammdd")&amp;"&lt;/fecha&gt;"</f>
        <v>&lt;fecha&gt;20100621&lt;/fecha&gt;</v>
      </c>
      <c r="B32" t="str">
        <f>"&lt;fecha&gt;"&amp;TEXT(Español!$G$14,"aaaammdd")&amp;"&lt;/fecha&gt;"</f>
        <v>&lt;fecha&gt;20100621&lt;/fecha&gt;</v>
      </c>
    </row>
    <row r="33" spans="1:2" ht="12.75">
      <c r="A33" t="str">
        <f>"&lt;fechafin&gt;"&amp;TEXT(Español!$G$18,"aaaammdd")&amp;"&lt;/fechafin&gt;"</f>
        <v>&lt;fechafin&gt;20100920&lt;/fechafin&gt;</v>
      </c>
      <c r="B33" t="str">
        <f>"&lt;tasamensual&gt;"&amp;INT(100*'CNMV ESP'!$C$97/12)&amp;"."&amp;100*(ROUND(100*'CNMV ESP'!$C$97/12-INT(100*'CNMV ESP'!$C$97/12),2))&amp;"&lt;/tasamensual&gt;"</f>
        <v>&lt;tasamensual&gt;0.96&lt;/tasamensual&gt;</v>
      </c>
    </row>
    <row r="34" spans="1:2" ht="12.75">
      <c r="A34" t="str">
        <f>"&lt;flujonominal&gt;"&amp;'CNMV ESP'!$J$69&amp;"&lt;/flujonominal&gt;"</f>
        <v>&lt;flujonominal&gt;.563441&lt;/flujonominal&gt;</v>
      </c>
      <c r="B34" t="str">
        <f>"&lt;vidamedia&gt;"&amp;INT(Español!$G$29)&amp;"."&amp;LEFT(TEXT(100*(TRUNC(100*ROUND(Español!$G$29,2))/100-TRUNC(Español!$G$29)),"00"),2)&amp;"&lt;/vidamedia&gt;"</f>
        <v>&lt;vidamedia&gt;2.13&lt;/vidamedia&gt;</v>
      </c>
    </row>
    <row r="35" spans="1:2" ht="12.75">
      <c r="A35" t="str">
        <f>"&lt;flujoporcentaje&gt;"&amp;'CNMV ESP'!$J$69&amp;"&lt;/flujoporcentaje&gt;"</f>
        <v>&lt;flujoporcentaje&gt;.563441&lt;/flujoporcentaje&gt;</v>
      </c>
      <c r="B35" t="str">
        <f>"&lt;tasaanual&gt;"&amp;INT(100*'CNMV ESP'!$C$96)&amp;"."&amp;100*(ROUND(100*'CNMV ESP'!$C$96-INT(100*'CNMV ESP'!$C$96),2))&amp;"&lt;/tasaanual&gt;"</f>
        <v>&lt;tasaanual&gt;11.1&lt;/tasaanual&gt;</v>
      </c>
    </row>
    <row r="36" spans="1:2" ht="12.75">
      <c r="A36" t="str">
        <f>"&lt;retencion&gt;"&amp;"19"&amp;"&lt;/retencion&gt;"</f>
        <v>&lt;retencion&gt;19&lt;/retencion&gt;</v>
      </c>
      <c r="B36" t="str">
        <f>"&lt;nominalunitario&gt;"&amp;INT('CNMV ESP'!$E$53)&amp;"."&amp;TEXT((ROUND(100*'CNMV ESP'!$E$53,0)-100*INT('CNMV ESP'!$E$53)),"00")&amp;"&lt;/nominalunitario&gt;"</f>
        <v>&lt;nominalunitario&gt;100000.00&lt;/nominalunitario&gt;</v>
      </c>
    </row>
    <row r="37" spans="1:2" ht="12.75">
      <c r="A37" t="str">
        <f>"&lt;tipofacial&gt;"&amp;'CNMV ESP'!$K$69&amp;"&lt;/tipofacial&gt;"</f>
        <v>&lt;tipofacial&gt;2.229&lt;/tipofacial&gt;</v>
      </c>
      <c r="B37" t="str">
        <f>"&lt;tasahistorica&gt;"&amp;INT(100*'CNMV ESP'!$C$98)&amp;"."&amp;TEXT(100*(ROUND(100*'CNMV ESP'!$C$98-INT(100*'CNMV ESP'!$C$98),2)),"00")&amp;"&lt;/tasahistorica&gt;"</f>
        <v>&lt;tasahistorica&gt;14.20&lt;/tasahistorica&gt;</v>
      </c>
    </row>
    <row r="38" spans="1:2" ht="12.75">
      <c r="A38" t="str">
        <f>"&lt;/tipo&gt;"</f>
        <v>&lt;/tipo&gt;</v>
      </c>
      <c r="B38" t="s">
        <v>1243</v>
      </c>
    </row>
    <row r="39" spans="1:2" ht="12.75">
      <c r="A39" t="str">
        <f>"&lt;/tiposinteres&gt;"</f>
        <v>&lt;/tiposinteres&gt;</v>
      </c>
      <c r="B39" t="s">
        <v>1244</v>
      </c>
    </row>
    <row r="87" spans="2:3" ht="12.75">
      <c r="B87" s="48"/>
      <c r="C87" s="675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"/>
  <dimension ref="B7:R29"/>
  <sheetViews>
    <sheetView workbookViewId="0" topLeftCell="A1">
      <pane xSplit="4" ySplit="19" topLeftCell="J20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P21" sqref="P21"/>
    </sheetView>
  </sheetViews>
  <sheetFormatPr defaultColWidth="11.421875" defaultRowHeight="12.75"/>
  <cols>
    <col min="1" max="1" width="2.28125" style="452" customWidth="1"/>
    <col min="2" max="2" width="14.8515625" style="452" customWidth="1"/>
    <col min="3" max="3" width="7.57421875" style="452" bestFit="1" customWidth="1"/>
    <col min="4" max="4" width="11.140625" style="452" customWidth="1"/>
    <col min="5" max="5" width="13.28125" style="452" bestFit="1" customWidth="1"/>
    <col min="6" max="6" width="12.7109375" style="452" bestFit="1" customWidth="1"/>
    <col min="7" max="17" width="14.8515625" style="452" customWidth="1"/>
    <col min="18" max="18" width="1.7109375" style="452" customWidth="1"/>
    <col min="19" max="16384" width="14.8515625" style="452" customWidth="1"/>
  </cols>
  <sheetData>
    <row r="7" spans="2:17" ht="15">
      <c r="B7" s="450" t="s">
        <v>963</v>
      </c>
      <c r="C7" s="450" t="s">
        <v>964</v>
      </c>
      <c r="D7" s="450" t="s">
        <v>965</v>
      </c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</row>
    <row r="8" spans="2:17" ht="15">
      <c r="B8" s="453" t="s">
        <v>29</v>
      </c>
      <c r="C8" s="454">
        <v>10600</v>
      </c>
      <c r="D8" s="455">
        <v>0.0009</v>
      </c>
      <c r="E8" s="456">
        <f>100000*C8</f>
        <v>1060000000</v>
      </c>
      <c r="F8" s="456">
        <v>964582192.0000001</v>
      </c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</row>
    <row r="9" spans="2:17" ht="15">
      <c r="B9" s="453" t="s">
        <v>30</v>
      </c>
      <c r="C9" s="454">
        <v>8000</v>
      </c>
      <c r="D9" s="455">
        <v>0.0025</v>
      </c>
      <c r="E9" s="456">
        <f>100000*C9</f>
        <v>800000000</v>
      </c>
      <c r="F9" s="456">
        <v>800000000</v>
      </c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</row>
    <row r="10" spans="2:17" ht="15">
      <c r="B10" s="453" t="s">
        <v>1507</v>
      </c>
      <c r="C10" s="454">
        <v>700</v>
      </c>
      <c r="D10" s="455">
        <v>0.0035</v>
      </c>
      <c r="E10" s="456">
        <f>100000*C10</f>
        <v>70000000</v>
      </c>
      <c r="F10" s="456">
        <v>70000000</v>
      </c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</row>
    <row r="11" spans="2:17" ht="15">
      <c r="B11" s="453" t="s">
        <v>1495</v>
      </c>
      <c r="C11" s="454">
        <v>350</v>
      </c>
      <c r="D11" s="455">
        <v>0.008</v>
      </c>
      <c r="E11" s="456">
        <f>100000*C11</f>
        <v>35000000</v>
      </c>
      <c r="F11" s="456">
        <v>35000000</v>
      </c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</row>
    <row r="12" spans="2:17" ht="15">
      <c r="B12" s="453" t="s">
        <v>19</v>
      </c>
      <c r="C12" s="454">
        <v>350</v>
      </c>
      <c r="D12" s="455">
        <v>0.015</v>
      </c>
      <c r="E12" s="456">
        <f>100000*C12</f>
        <v>35000000</v>
      </c>
      <c r="F12" s="456">
        <v>35000000</v>
      </c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</row>
    <row r="13" spans="2:17" ht="15">
      <c r="B13" s="451"/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</row>
    <row r="14" spans="2:17" ht="15">
      <c r="B14" s="451"/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</row>
    <row r="15" spans="2:17" ht="15">
      <c r="B15" s="451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</row>
    <row r="16" spans="2:17" ht="15">
      <c r="B16" s="451"/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</row>
    <row r="17" spans="2:17" ht="15">
      <c r="B17" s="451" t="s">
        <v>1013</v>
      </c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</row>
    <row r="18" spans="2:18" ht="15">
      <c r="B18" s="1204" t="s">
        <v>1014</v>
      </c>
      <c r="C18" s="1204"/>
      <c r="D18" s="451"/>
      <c r="E18" s="457"/>
      <c r="F18" s="457"/>
      <c r="G18" s="457"/>
      <c r="H18" s="457"/>
      <c r="I18" s="457">
        <v>39713</v>
      </c>
      <c r="J18" s="457">
        <v>39804</v>
      </c>
      <c r="K18" s="457">
        <v>39892</v>
      </c>
      <c r="L18" s="457">
        <v>39986</v>
      </c>
      <c r="M18" s="457">
        <v>40077</v>
      </c>
      <c r="N18" s="457">
        <v>40168</v>
      </c>
      <c r="O18" s="457">
        <v>40259</v>
      </c>
      <c r="P18" s="457">
        <v>40350</v>
      </c>
      <c r="Q18" s="457"/>
      <c r="R18" s="457"/>
    </row>
    <row r="19" spans="2:17" ht="15">
      <c r="B19" s="1204" t="s">
        <v>1445</v>
      </c>
      <c r="C19" s="1204"/>
      <c r="D19" s="451"/>
      <c r="E19" s="457"/>
      <c r="F19" s="457">
        <v>39434</v>
      </c>
      <c r="G19" s="457">
        <v>39525</v>
      </c>
      <c r="H19" s="457">
        <v>39617</v>
      </c>
      <c r="I19" s="457">
        <v>39709</v>
      </c>
      <c r="J19" s="457">
        <v>39800</v>
      </c>
      <c r="K19" s="457">
        <v>39890</v>
      </c>
      <c r="L19" s="457">
        <v>39982</v>
      </c>
      <c r="M19" s="457">
        <v>40073</v>
      </c>
      <c r="N19" s="457">
        <v>40164</v>
      </c>
      <c r="O19" s="457">
        <v>40255</v>
      </c>
      <c r="P19" s="457">
        <v>40346</v>
      </c>
      <c r="Q19" s="457"/>
    </row>
    <row r="20" spans="2:18" ht="15">
      <c r="B20" s="452" t="s">
        <v>1015</v>
      </c>
      <c r="D20" s="451"/>
      <c r="E20" s="458">
        <v>0.04619</v>
      </c>
      <c r="F20" s="458">
        <v>0.04876</v>
      </c>
      <c r="G20" s="458">
        <v>0.04654</v>
      </c>
      <c r="H20" s="458">
        <v>0.04962</v>
      </c>
      <c r="I20" s="458">
        <v>0.04991</v>
      </c>
      <c r="J20" s="458">
        <v>0.03125</v>
      </c>
      <c r="K20" s="458">
        <v>0.01614</v>
      </c>
      <c r="L20" s="458">
        <v>0.01235</v>
      </c>
      <c r="M20" s="458">
        <v>0.00766</v>
      </c>
      <c r="N20" s="458">
        <v>0.00712</v>
      </c>
      <c r="O20" s="458">
        <v>0.00644</v>
      </c>
      <c r="P20" s="458">
        <v>0.00729</v>
      </c>
      <c r="Q20" s="458"/>
      <c r="R20" s="458"/>
    </row>
    <row r="22" spans="2:18" ht="15">
      <c r="B22" s="459" t="str">
        <f>+B8</f>
        <v>Serie A1</v>
      </c>
      <c r="C22" s="460"/>
      <c r="D22" s="461"/>
      <c r="E22" s="462">
        <f aca="true" t="shared" si="0" ref="E22:F26">E$20+$D8</f>
        <v>0.04709</v>
      </c>
      <c r="F22" s="462">
        <f t="shared" si="0"/>
        <v>0.049659999999999996</v>
      </c>
      <c r="G22" s="462">
        <f aca="true" t="shared" si="1" ref="G22:H26">G$20+$D8</f>
        <v>0.047439999999999996</v>
      </c>
      <c r="H22" s="462">
        <f t="shared" si="1"/>
        <v>0.050519999999999995</v>
      </c>
      <c r="I22" s="462">
        <f aca="true" t="shared" si="2" ref="I22:J26">I$20+$D8</f>
        <v>0.05081</v>
      </c>
      <c r="J22" s="462">
        <f t="shared" si="2"/>
        <v>0.03215</v>
      </c>
      <c r="K22" s="462">
        <f aca="true" t="shared" si="3" ref="K22:L26">K$20+$D8</f>
        <v>0.017040000000000003</v>
      </c>
      <c r="L22" s="462">
        <f t="shared" si="3"/>
        <v>0.01325</v>
      </c>
      <c r="M22" s="462">
        <f aca="true" t="shared" si="4" ref="M22:N26">M$20+$D8</f>
        <v>0.00856</v>
      </c>
      <c r="N22" s="462">
        <f t="shared" si="4"/>
        <v>0.00802</v>
      </c>
      <c r="O22" s="462">
        <f aca="true" t="shared" si="5" ref="O22:P26">O$20+$D8</f>
        <v>0.00734</v>
      </c>
      <c r="P22" s="462">
        <f t="shared" si="5"/>
        <v>0.00819</v>
      </c>
      <c r="Q22" s="462"/>
      <c r="R22" s="462"/>
    </row>
    <row r="23" spans="2:18" ht="15">
      <c r="B23" s="459" t="str">
        <f>+B9</f>
        <v>Serie A2</v>
      </c>
      <c r="C23" s="460"/>
      <c r="D23" s="461"/>
      <c r="E23" s="462">
        <f t="shared" si="0"/>
        <v>0.048690000000000004</v>
      </c>
      <c r="F23" s="462">
        <f t="shared" si="0"/>
        <v>0.05126</v>
      </c>
      <c r="G23" s="462">
        <f t="shared" si="1"/>
        <v>0.04904</v>
      </c>
      <c r="H23" s="462">
        <f t="shared" si="1"/>
        <v>0.05212</v>
      </c>
      <c r="I23" s="462">
        <f t="shared" si="2"/>
        <v>0.052410000000000005</v>
      </c>
      <c r="J23" s="462">
        <f t="shared" si="2"/>
        <v>0.03375</v>
      </c>
      <c r="K23" s="462">
        <f t="shared" si="3"/>
        <v>0.01864</v>
      </c>
      <c r="L23" s="462">
        <f t="shared" si="3"/>
        <v>0.01485</v>
      </c>
      <c r="M23" s="462">
        <f t="shared" si="4"/>
        <v>0.01016</v>
      </c>
      <c r="N23" s="462">
        <f t="shared" si="4"/>
        <v>0.00962</v>
      </c>
      <c r="O23" s="462">
        <f t="shared" si="5"/>
        <v>0.00894</v>
      </c>
      <c r="P23" s="462">
        <f t="shared" si="5"/>
        <v>0.00979</v>
      </c>
      <c r="Q23" s="462"/>
      <c r="R23" s="462"/>
    </row>
    <row r="24" spans="2:18" ht="15">
      <c r="B24" s="459" t="str">
        <f>+B10</f>
        <v>Serie B</v>
      </c>
      <c r="C24" s="460"/>
      <c r="D24" s="461"/>
      <c r="E24" s="462">
        <f t="shared" si="0"/>
        <v>0.049690000000000005</v>
      </c>
      <c r="F24" s="462">
        <f t="shared" si="0"/>
        <v>0.05226</v>
      </c>
      <c r="G24" s="462">
        <f t="shared" si="1"/>
        <v>0.05004</v>
      </c>
      <c r="H24" s="462">
        <f t="shared" si="1"/>
        <v>0.05312</v>
      </c>
      <c r="I24" s="462">
        <f t="shared" si="2"/>
        <v>0.053410000000000006</v>
      </c>
      <c r="J24" s="462">
        <f t="shared" si="2"/>
        <v>0.03475</v>
      </c>
      <c r="K24" s="462">
        <f t="shared" si="3"/>
        <v>0.01964</v>
      </c>
      <c r="L24" s="462">
        <f t="shared" si="3"/>
        <v>0.01585</v>
      </c>
      <c r="M24" s="462">
        <f t="shared" si="4"/>
        <v>0.01116</v>
      </c>
      <c r="N24" s="462">
        <f t="shared" si="4"/>
        <v>0.01062</v>
      </c>
      <c r="O24" s="462">
        <f t="shared" si="5"/>
        <v>0.009940000000000001</v>
      </c>
      <c r="P24" s="462">
        <f t="shared" si="5"/>
        <v>0.01079</v>
      </c>
      <c r="Q24" s="462"/>
      <c r="R24" s="462"/>
    </row>
    <row r="25" spans="2:18" ht="15">
      <c r="B25" s="459" t="str">
        <f>+B11</f>
        <v>Serie C</v>
      </c>
      <c r="C25" s="460"/>
      <c r="D25" s="461"/>
      <c r="E25" s="462">
        <f t="shared" si="0"/>
        <v>0.05419</v>
      </c>
      <c r="F25" s="462">
        <f t="shared" si="0"/>
        <v>0.05676</v>
      </c>
      <c r="G25" s="462">
        <f t="shared" si="1"/>
        <v>0.05454</v>
      </c>
      <c r="H25" s="462">
        <f t="shared" si="1"/>
        <v>0.05762</v>
      </c>
      <c r="I25" s="462">
        <f t="shared" si="2"/>
        <v>0.05791</v>
      </c>
      <c r="J25" s="462">
        <f t="shared" si="2"/>
        <v>0.03925</v>
      </c>
      <c r="K25" s="462">
        <f t="shared" si="3"/>
        <v>0.02414</v>
      </c>
      <c r="L25" s="462">
        <f t="shared" si="3"/>
        <v>0.02035</v>
      </c>
      <c r="M25" s="462">
        <f t="shared" si="4"/>
        <v>0.01566</v>
      </c>
      <c r="N25" s="462">
        <f t="shared" si="4"/>
        <v>0.01512</v>
      </c>
      <c r="O25" s="462">
        <f t="shared" si="5"/>
        <v>0.014440000000000001</v>
      </c>
      <c r="P25" s="462">
        <f t="shared" si="5"/>
        <v>0.01529</v>
      </c>
      <c r="Q25" s="462"/>
      <c r="R25" s="462"/>
    </row>
    <row r="26" spans="2:18" ht="15">
      <c r="B26" s="459" t="str">
        <f>+B12</f>
        <v>Serie D</v>
      </c>
      <c r="C26" s="460"/>
      <c r="D26" s="461"/>
      <c r="E26" s="462">
        <f t="shared" si="0"/>
        <v>0.06119</v>
      </c>
      <c r="F26" s="462">
        <f t="shared" si="0"/>
        <v>0.06376</v>
      </c>
      <c r="G26" s="462">
        <f t="shared" si="1"/>
        <v>0.06154</v>
      </c>
      <c r="H26" s="462">
        <f t="shared" si="1"/>
        <v>0.06462</v>
      </c>
      <c r="I26" s="462">
        <f t="shared" si="2"/>
        <v>0.06491</v>
      </c>
      <c r="J26" s="462">
        <f t="shared" si="2"/>
        <v>0.04625</v>
      </c>
      <c r="K26" s="462">
        <f t="shared" si="3"/>
        <v>0.03114</v>
      </c>
      <c r="L26" s="462">
        <f t="shared" si="3"/>
        <v>0.02735</v>
      </c>
      <c r="M26" s="462">
        <f t="shared" si="4"/>
        <v>0.02266</v>
      </c>
      <c r="N26" s="462">
        <f t="shared" si="4"/>
        <v>0.02212</v>
      </c>
      <c r="O26" s="462">
        <f t="shared" si="5"/>
        <v>0.02144</v>
      </c>
      <c r="P26" s="462">
        <f t="shared" si="5"/>
        <v>0.022289999999999997</v>
      </c>
      <c r="Q26" s="462"/>
      <c r="R26" s="462"/>
    </row>
    <row r="27" spans="2:18" ht="15">
      <c r="B27" s="459" t="s">
        <v>1016</v>
      </c>
      <c r="C27" s="460"/>
      <c r="D27" s="461"/>
      <c r="E27" s="462">
        <f aca="true" t="shared" si="6" ref="E27:P27">+E$20</f>
        <v>0.04619</v>
      </c>
      <c r="F27" s="462">
        <f t="shared" si="6"/>
        <v>0.04876</v>
      </c>
      <c r="G27" s="462">
        <f t="shared" si="6"/>
        <v>0.04654</v>
      </c>
      <c r="H27" s="462">
        <f t="shared" si="6"/>
        <v>0.04962</v>
      </c>
      <c r="I27" s="462">
        <f t="shared" si="6"/>
        <v>0.04991</v>
      </c>
      <c r="J27" s="462">
        <f t="shared" si="6"/>
        <v>0.03125</v>
      </c>
      <c r="K27" s="462">
        <f t="shared" si="6"/>
        <v>0.01614</v>
      </c>
      <c r="L27" s="462">
        <f t="shared" si="6"/>
        <v>0.01235</v>
      </c>
      <c r="M27" s="462">
        <f t="shared" si="6"/>
        <v>0.00766</v>
      </c>
      <c r="N27" s="462">
        <f t="shared" si="6"/>
        <v>0.00712</v>
      </c>
      <c r="O27" s="462">
        <f t="shared" si="6"/>
        <v>0.00644</v>
      </c>
      <c r="P27" s="462">
        <f t="shared" si="6"/>
        <v>0.00729</v>
      </c>
      <c r="Q27" s="462"/>
      <c r="R27" s="462"/>
    </row>
    <row r="28" spans="2:18" ht="15">
      <c r="B28" s="459" t="s">
        <v>1017</v>
      </c>
      <c r="C28" s="460"/>
      <c r="D28" s="461"/>
      <c r="E28" s="462">
        <f aca="true" t="shared" si="7" ref="E28:G29">1%+E$20</f>
        <v>0.056190000000000004</v>
      </c>
      <c r="F28" s="462">
        <f t="shared" si="7"/>
        <v>0.05876</v>
      </c>
      <c r="G28" s="462">
        <f t="shared" si="7"/>
        <v>0.05654</v>
      </c>
      <c r="H28" s="462">
        <f aca="true" t="shared" si="8" ref="H28:P29">1%+H$20</f>
        <v>0.05962</v>
      </c>
      <c r="I28" s="462">
        <f t="shared" si="8"/>
        <v>0.059910000000000005</v>
      </c>
      <c r="J28" s="462">
        <f t="shared" si="8"/>
        <v>0.04125</v>
      </c>
      <c r="K28" s="462">
        <f t="shared" si="8"/>
        <v>0.026140000000000004</v>
      </c>
      <c r="L28" s="462">
        <f t="shared" si="8"/>
        <v>0.022350000000000002</v>
      </c>
      <c r="M28" s="462">
        <f t="shared" si="8"/>
        <v>0.017660000000000002</v>
      </c>
      <c r="N28" s="462">
        <f t="shared" si="8"/>
        <v>0.01712</v>
      </c>
      <c r="O28" s="462">
        <f t="shared" si="8"/>
        <v>0.01644</v>
      </c>
      <c r="P28" s="462">
        <f t="shared" si="8"/>
        <v>0.01729</v>
      </c>
      <c r="Q28" s="462"/>
      <c r="R28" s="462"/>
    </row>
    <row r="29" spans="2:18" ht="15">
      <c r="B29" s="459" t="s">
        <v>1018</v>
      </c>
      <c r="C29" s="460"/>
      <c r="D29" s="461"/>
      <c r="E29" s="462">
        <f t="shared" si="7"/>
        <v>0.056190000000000004</v>
      </c>
      <c r="F29" s="462">
        <f t="shared" si="7"/>
        <v>0.05876</v>
      </c>
      <c r="G29" s="462">
        <f t="shared" si="7"/>
        <v>0.05654</v>
      </c>
      <c r="H29" s="462">
        <f t="shared" si="8"/>
        <v>0.05962</v>
      </c>
      <c r="I29" s="462">
        <f t="shared" si="8"/>
        <v>0.059910000000000005</v>
      </c>
      <c r="J29" s="462">
        <f t="shared" si="8"/>
        <v>0.04125</v>
      </c>
      <c r="K29" s="462">
        <f t="shared" si="8"/>
        <v>0.026140000000000004</v>
      </c>
      <c r="L29" s="462">
        <f t="shared" si="8"/>
        <v>0.022350000000000002</v>
      </c>
      <c r="M29" s="462">
        <f t="shared" si="8"/>
        <v>0.017660000000000002</v>
      </c>
      <c r="N29" s="462">
        <f t="shared" si="8"/>
        <v>0.01712</v>
      </c>
      <c r="O29" s="462">
        <f t="shared" si="8"/>
        <v>0.01644</v>
      </c>
      <c r="P29" s="462">
        <f t="shared" si="8"/>
        <v>0.01729</v>
      </c>
      <c r="Q29" s="462"/>
      <c r="R29" s="462"/>
    </row>
  </sheetData>
  <mergeCells count="2">
    <mergeCell ref="B18:C18"/>
    <mergeCell ref="B19:C19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"/>
  <dimension ref="A1:AE225"/>
  <sheetViews>
    <sheetView zoomScale="80" zoomScaleNormal="80" workbookViewId="0" topLeftCell="C60">
      <selection activeCell="J80" sqref="J80"/>
    </sheetView>
  </sheetViews>
  <sheetFormatPr defaultColWidth="12.57421875" defaultRowHeight="12.75"/>
  <cols>
    <col min="1" max="1" width="17.8515625" style="0" customWidth="1"/>
    <col min="2" max="2" width="45.28125" style="0" customWidth="1"/>
    <col min="3" max="3" width="24.140625" style="0" bestFit="1" customWidth="1"/>
    <col min="4" max="4" width="17.28125" style="0" customWidth="1"/>
    <col min="5" max="5" width="7.7109375" style="0" customWidth="1"/>
    <col min="6" max="6" width="22.00390625" style="0" customWidth="1"/>
    <col min="7" max="7" width="21.00390625" style="0" customWidth="1"/>
    <col min="8" max="8" width="16.28125" style="0" customWidth="1"/>
    <col min="9" max="9" width="15.57421875" style="0" customWidth="1"/>
    <col min="10" max="10" width="25.8515625" style="0" bestFit="1" customWidth="1"/>
    <col min="11" max="11" width="18.00390625" style="0" bestFit="1" customWidth="1"/>
    <col min="12" max="12" width="13.421875" style="0" bestFit="1" customWidth="1"/>
    <col min="13" max="13" width="20.140625" style="0" customWidth="1"/>
    <col min="14" max="14" width="22.7109375" style="0" bestFit="1" customWidth="1"/>
    <col min="15" max="15" width="17.28125" style="0" bestFit="1" customWidth="1"/>
    <col min="16" max="16" width="18.8515625" style="0" customWidth="1"/>
    <col min="17" max="18" width="17.28125" style="0" customWidth="1"/>
    <col min="19" max="19" width="17.7109375" style="0" bestFit="1" customWidth="1"/>
    <col min="20" max="20" width="3.00390625" style="0" customWidth="1"/>
    <col min="21" max="21" width="26.57421875" style="0" customWidth="1"/>
    <col min="22" max="22" width="17.28125" style="0" bestFit="1" customWidth="1"/>
    <col min="23" max="23" width="25.140625" style="0" customWidth="1"/>
    <col min="24" max="24" width="13.421875" style="0" bestFit="1" customWidth="1"/>
    <col min="25" max="25" width="19.00390625" style="0" customWidth="1"/>
    <col min="26" max="26" width="1.57421875" style="0" customWidth="1"/>
    <col min="27" max="27" width="22.57421875" style="0" customWidth="1"/>
    <col min="28" max="28" width="19.57421875" style="0" customWidth="1"/>
    <col min="29" max="29" width="12.00390625" style="0" customWidth="1"/>
    <col min="30" max="30" width="16.7109375" style="0" customWidth="1"/>
    <col min="31" max="31" width="13.57421875" style="0" customWidth="1"/>
  </cols>
  <sheetData>
    <row r="1" spans="1:19" ht="15.75">
      <c r="A1" s="59"/>
      <c r="B1" s="43"/>
      <c r="C1" s="50"/>
      <c r="D1" s="43"/>
      <c r="E1" s="43"/>
      <c r="F1" s="213">
        <f>688775714.816+1311224773.93</f>
        <v>2000000488.746</v>
      </c>
      <c r="G1" s="215" t="s">
        <v>27</v>
      </c>
      <c r="H1" s="217"/>
      <c r="I1" s="217"/>
      <c r="J1" s="43"/>
      <c r="K1" s="60"/>
      <c r="N1" s="60"/>
      <c r="O1" s="60"/>
      <c r="P1" s="60"/>
      <c r="Q1" s="60"/>
      <c r="R1" s="60"/>
      <c r="S1" s="60"/>
    </row>
    <row r="2" spans="1:19" ht="15.75">
      <c r="A2" s="59"/>
      <c r="B2" s="218"/>
      <c r="C2" s="219" t="s">
        <v>101</v>
      </c>
      <c r="D2" s="506">
        <f ca="1">OFFSET(BALANCE!$A$7,MATCH(C2,BALANCE!$A$8:$A$350,0),7)</f>
        <v>182112027.68</v>
      </c>
      <c r="E2" s="43"/>
      <c r="F2" s="213">
        <f>D13</f>
        <v>553337874.7499999</v>
      </c>
      <c r="G2" s="215" t="s">
        <v>557</v>
      </c>
      <c r="H2" s="217"/>
      <c r="I2" s="217"/>
      <c r="J2" s="43"/>
      <c r="K2" s="60"/>
      <c r="N2" s="60"/>
      <c r="O2" s="60"/>
      <c r="P2" s="60"/>
      <c r="Q2" s="60"/>
      <c r="R2" s="60"/>
      <c r="S2" s="60"/>
    </row>
    <row r="3" spans="1:19" ht="15.75">
      <c r="A3" s="59"/>
      <c r="B3" s="220" t="s">
        <v>102</v>
      </c>
      <c r="C3" s="221" t="s">
        <v>103</v>
      </c>
      <c r="D3" s="506">
        <f ca="1">OFFSET(BALANCE!$A$7,MATCH(C3,BALANCE!$A$8:$A$350,0),7)</f>
        <v>369129910.63</v>
      </c>
      <c r="E3" s="43"/>
      <c r="F3" s="213">
        <f>J80</f>
        <v>553337840</v>
      </c>
      <c r="G3" s="215" t="s">
        <v>1141</v>
      </c>
      <c r="H3" s="217"/>
      <c r="I3" s="217"/>
      <c r="J3" s="43"/>
      <c r="K3" s="60"/>
      <c r="N3" s="60"/>
      <c r="O3" s="60"/>
      <c r="P3" s="60"/>
      <c r="Q3" s="60"/>
      <c r="R3" s="60"/>
      <c r="S3" s="60"/>
    </row>
    <row r="4" spans="1:19" ht="15.75">
      <c r="A4" s="59"/>
      <c r="B4" s="222"/>
      <c r="C4" s="223" t="s">
        <v>564</v>
      </c>
      <c r="D4" s="506">
        <f ca="1">OFFSET(BALANCE!$A$7,MATCH(C4,BALANCE!$A$8:$A$350,0),7)</f>
        <v>788590.14</v>
      </c>
      <c r="E4" s="43"/>
      <c r="F4" s="214">
        <f>F3-F2</f>
        <v>-34.74999988079071</v>
      </c>
      <c r="G4" s="216" t="s">
        <v>1511</v>
      </c>
      <c r="H4" s="217"/>
      <c r="I4" s="217"/>
      <c r="J4" s="43"/>
      <c r="K4" s="60"/>
      <c r="N4" s="60"/>
      <c r="O4" s="60"/>
      <c r="P4" s="60"/>
      <c r="Q4" s="60"/>
      <c r="R4" s="60"/>
      <c r="S4" s="60"/>
    </row>
    <row r="5" spans="1:19" ht="15.75">
      <c r="A5" s="59"/>
      <c r="B5" s="222"/>
      <c r="C5" s="257" t="s">
        <v>487</v>
      </c>
      <c r="D5" s="506">
        <f ca="1">OFFSET(BALANCE!$A$7,MATCH(C5,BALANCE!$A$8:$A$350,0),7)</f>
        <v>0</v>
      </c>
      <c r="E5" s="43"/>
      <c r="J5" s="43"/>
      <c r="K5" s="60"/>
      <c r="N5" s="60"/>
      <c r="O5" s="60"/>
      <c r="P5" s="60"/>
      <c r="Q5" s="60"/>
      <c r="R5" s="60"/>
      <c r="S5" s="60"/>
    </row>
    <row r="6" spans="1:19" ht="15.75">
      <c r="A6" s="59"/>
      <c r="B6" s="43"/>
      <c r="C6" s="50"/>
      <c r="D6" s="43"/>
      <c r="E6" s="43"/>
      <c r="F6" s="213">
        <v>634407457.0699999</v>
      </c>
      <c r="G6" s="215" t="s">
        <v>1138</v>
      </c>
      <c r="H6" s="215"/>
      <c r="I6" s="215"/>
      <c r="J6" s="43"/>
      <c r="K6" s="60"/>
      <c r="N6" s="60"/>
      <c r="O6" s="60"/>
      <c r="P6" s="60"/>
      <c r="Q6" s="60"/>
      <c r="R6" s="60"/>
      <c r="S6" s="60"/>
    </row>
    <row r="7" spans="1:19" ht="15.75">
      <c r="A7" s="59"/>
      <c r="B7" s="220" t="s">
        <v>1021</v>
      </c>
      <c r="C7" s="223" t="s">
        <v>1340</v>
      </c>
      <c r="D7" s="506">
        <f ca="1">OFFSET(BALANCE!$A$7,MATCH(C7,BALANCE!$A$8:$A$350,0),7)</f>
        <v>7478847.25</v>
      </c>
      <c r="E7" s="43"/>
      <c r="J7" s="43"/>
      <c r="K7" s="60"/>
      <c r="N7" s="60"/>
      <c r="O7" s="60"/>
      <c r="P7" s="60"/>
      <c r="Q7" s="60"/>
      <c r="R7" s="60"/>
      <c r="S7" s="60"/>
    </row>
    <row r="8" spans="1:19" ht="15.75">
      <c r="A8" s="59"/>
      <c r="B8" s="220" t="s">
        <v>1021</v>
      </c>
      <c r="C8" s="223" t="s">
        <v>1343</v>
      </c>
      <c r="D8" s="506">
        <f ca="1">OFFSET(BALANCE!$A$7,MATCH(C8,BALANCE!$A$8:$A$350,0),7)</f>
        <v>7240883.73</v>
      </c>
      <c r="E8" s="43"/>
      <c r="F8" s="213">
        <f>+F6-F2</f>
        <v>81069582.32000005</v>
      </c>
      <c r="G8" s="215" t="s">
        <v>1140</v>
      </c>
      <c r="H8" s="215"/>
      <c r="I8" s="215"/>
      <c r="J8" s="43"/>
      <c r="K8" s="60"/>
      <c r="N8" s="60"/>
      <c r="O8" s="60"/>
      <c r="P8" s="60"/>
      <c r="Q8" s="60"/>
      <c r="R8" s="60"/>
      <c r="S8" s="60"/>
    </row>
    <row r="9" spans="1:19" ht="15.75">
      <c r="A9" s="59"/>
      <c r="B9" s="43"/>
      <c r="C9" s="50"/>
      <c r="D9" s="43"/>
      <c r="E9" s="43"/>
      <c r="F9" s="48"/>
      <c r="J9" s="43"/>
      <c r="K9" s="60"/>
      <c r="N9" s="60"/>
      <c r="O9" s="60"/>
      <c r="P9" s="60"/>
      <c r="Q9" s="60"/>
      <c r="R9" s="60"/>
      <c r="S9" s="60"/>
    </row>
    <row r="10" spans="1:19" ht="15.75">
      <c r="A10" s="59"/>
      <c r="B10" s="220" t="s">
        <v>1022</v>
      </c>
      <c r="C10" s="220" t="s">
        <v>1340</v>
      </c>
      <c r="D10" s="847">
        <f>+Español!M59</f>
        <v>7031185.34</v>
      </c>
      <c r="E10" s="43"/>
      <c r="J10" s="43"/>
      <c r="K10" s="60"/>
      <c r="N10" s="60"/>
      <c r="O10" s="60"/>
      <c r="P10" s="60"/>
      <c r="Q10" s="60"/>
      <c r="R10" s="60"/>
      <c r="S10" s="60"/>
    </row>
    <row r="11" spans="1:19" ht="15.75">
      <c r="A11" s="59"/>
      <c r="B11" s="220" t="s">
        <v>1022</v>
      </c>
      <c r="C11" s="223" t="s">
        <v>1343</v>
      </c>
      <c r="D11" s="847">
        <f>+Español!M60</f>
        <v>6381199.340000001</v>
      </c>
      <c r="E11" s="43"/>
      <c r="F11" s="48"/>
      <c r="J11" s="43"/>
      <c r="K11" s="60"/>
      <c r="N11" s="60"/>
      <c r="O11" s="60"/>
      <c r="P11" s="60"/>
      <c r="Q11" s="60"/>
      <c r="R11" s="60"/>
      <c r="S11" s="60"/>
    </row>
    <row r="12" spans="1:19" ht="16.5" thickBot="1">
      <c r="A12" s="59"/>
      <c r="B12" s="43"/>
      <c r="C12" s="50"/>
      <c r="D12" s="43"/>
      <c r="E12" s="43"/>
      <c r="F12" s="48"/>
      <c r="J12" s="43"/>
      <c r="K12" s="60"/>
      <c r="N12" s="60"/>
      <c r="O12" s="60"/>
      <c r="P12" s="60"/>
      <c r="Q12" s="60"/>
      <c r="R12" s="60"/>
      <c r="S12" s="60"/>
    </row>
    <row r="13" spans="1:19" ht="16.5" thickBot="1">
      <c r="A13" s="59"/>
      <c r="B13" s="698" t="s">
        <v>1023</v>
      </c>
      <c r="C13" s="50"/>
      <c r="D13" s="697">
        <f>SUM(D2:D8)-D10-D11</f>
        <v>553337874.7499999</v>
      </c>
      <c r="E13" s="43"/>
      <c r="F13" s="48"/>
      <c r="J13" s="43"/>
      <c r="K13" s="60"/>
      <c r="N13" s="60"/>
      <c r="O13" s="60"/>
      <c r="P13" s="60"/>
      <c r="Q13" s="60"/>
      <c r="R13" s="60"/>
      <c r="S13" s="60"/>
    </row>
    <row r="14" spans="1:19" ht="15.75">
      <c r="A14" s="59"/>
      <c r="B14" s="43"/>
      <c r="C14" s="50"/>
      <c r="D14" s="43"/>
      <c r="E14" s="43"/>
      <c r="F14" s="48"/>
      <c r="J14" s="43"/>
      <c r="K14" s="60"/>
      <c r="N14" s="60"/>
      <c r="O14" s="60"/>
      <c r="P14" s="60"/>
      <c r="Q14" s="60"/>
      <c r="R14" s="60"/>
      <c r="S14" s="60"/>
    </row>
    <row r="15" spans="1:19" ht="15.75">
      <c r="A15" s="59"/>
      <c r="B15" s="43"/>
      <c r="C15" s="50"/>
      <c r="D15" s="43"/>
      <c r="E15" s="43"/>
      <c r="F15" s="48"/>
      <c r="J15" s="43"/>
      <c r="K15" s="60"/>
      <c r="N15" s="60"/>
      <c r="O15" s="60"/>
      <c r="P15" s="60"/>
      <c r="Q15" s="60"/>
      <c r="R15" s="60"/>
      <c r="S15" s="60"/>
    </row>
    <row r="16" spans="1:19" ht="15.75">
      <c r="A16" s="59"/>
      <c r="B16" s="43" t="s">
        <v>1309</v>
      </c>
      <c r="C16" s="50"/>
      <c r="D16" s="43"/>
      <c r="E16" s="43"/>
      <c r="F16" s="48"/>
      <c r="J16" s="43"/>
      <c r="K16" s="60"/>
      <c r="N16" s="60"/>
      <c r="O16" s="60"/>
      <c r="P16" s="60"/>
      <c r="Q16" s="60"/>
      <c r="R16" s="60"/>
      <c r="S16" s="60"/>
    </row>
    <row r="17" spans="1:19" ht="16.5" thickBot="1">
      <c r="A17" s="59"/>
      <c r="B17" s="43"/>
      <c r="C17" s="50"/>
      <c r="D17" s="50"/>
      <c r="E17" s="50"/>
      <c r="F17" s="48"/>
      <c r="J17" s="43"/>
      <c r="K17" s="60"/>
      <c r="N17" s="60"/>
      <c r="O17" s="60"/>
      <c r="P17" s="60"/>
      <c r="Q17" s="60"/>
      <c r="R17" s="60"/>
      <c r="S17" s="60"/>
    </row>
    <row r="18" spans="1:19" ht="19.5" thickBot="1" thickTop="1">
      <c r="A18" s="43"/>
      <c r="B18" s="183" t="s">
        <v>998</v>
      </c>
      <c r="C18" s="1218">
        <f>Español!G14</f>
        <v>40350</v>
      </c>
      <c r="D18" s="1219"/>
      <c r="E18" s="43"/>
      <c r="J18" s="43"/>
      <c r="K18" s="60"/>
      <c r="N18" s="60"/>
      <c r="O18" s="60"/>
      <c r="P18" s="60"/>
      <c r="Q18" s="60"/>
      <c r="R18" s="60"/>
      <c r="S18" s="60"/>
    </row>
    <row r="19" spans="1:19" ht="16.5" thickTop="1">
      <c r="A19" s="43"/>
      <c r="B19" s="43"/>
      <c r="C19" s="43"/>
      <c r="D19" s="43"/>
      <c r="E19" s="43"/>
      <c r="F19" s="58"/>
      <c r="G19" s="73"/>
      <c r="H19" s="43"/>
      <c r="I19" s="43"/>
      <c r="J19" s="43"/>
      <c r="K19" s="60"/>
      <c r="N19" s="60"/>
      <c r="O19" s="60"/>
      <c r="P19" s="60"/>
      <c r="Q19" s="60"/>
      <c r="R19" s="60"/>
      <c r="S19" s="60"/>
    </row>
    <row r="20" spans="1:19" ht="16.5" thickBot="1">
      <c r="A20" s="43"/>
      <c r="B20" s="43"/>
      <c r="C20" s="43"/>
      <c r="D20" s="43"/>
      <c r="E20" s="43"/>
      <c r="F20" s="72"/>
      <c r="G20" s="73"/>
      <c r="H20" s="43"/>
      <c r="I20" s="43"/>
      <c r="J20" s="43"/>
      <c r="K20" s="60"/>
      <c r="N20" s="60"/>
      <c r="O20" s="60"/>
      <c r="P20" s="60"/>
      <c r="Q20" s="60"/>
      <c r="R20" s="60"/>
      <c r="S20" s="60"/>
    </row>
    <row r="21" spans="1:19" ht="19.5" thickBot="1" thickTop="1">
      <c r="A21" s="43"/>
      <c r="B21" s="1220" t="s">
        <v>642</v>
      </c>
      <c r="C21" s="1221"/>
      <c r="D21" s="1222"/>
      <c r="E21" s="43"/>
      <c r="F21" s="58">
        <v>15400000</v>
      </c>
      <c r="G21" s="73" t="s">
        <v>1510</v>
      </c>
      <c r="H21" s="43"/>
      <c r="I21" s="43"/>
      <c r="J21" s="43"/>
      <c r="K21" s="60"/>
      <c r="N21" s="60"/>
      <c r="O21" s="60"/>
      <c r="P21" s="60"/>
      <c r="Q21" s="60"/>
      <c r="R21" s="60"/>
      <c r="S21" s="60"/>
    </row>
    <row r="22" spans="1:19" ht="16.5" thickTop="1">
      <c r="A22" s="43"/>
      <c r="E22" s="43"/>
      <c r="F22" s="72"/>
      <c r="G22" s="73" t="s">
        <v>33</v>
      </c>
      <c r="H22" s="43"/>
      <c r="I22" s="43"/>
      <c r="J22" s="43"/>
      <c r="K22" s="60"/>
      <c r="N22" s="60"/>
      <c r="O22" s="60"/>
      <c r="P22" s="60"/>
      <c r="Q22" s="60"/>
      <c r="R22" s="60"/>
      <c r="S22" s="60"/>
    </row>
    <row r="23" spans="1:19" ht="16.5" thickBot="1">
      <c r="A23" s="43"/>
      <c r="F23" s="72"/>
      <c r="G23" s="243"/>
      <c r="K23" s="60"/>
      <c r="N23" s="60"/>
      <c r="O23" s="60"/>
      <c r="P23" s="60"/>
      <c r="Q23" s="60"/>
      <c r="R23" s="60"/>
      <c r="S23" s="60"/>
    </row>
    <row r="24" spans="1:19" ht="15.75">
      <c r="A24" s="43"/>
      <c r="F24" s="511">
        <f>SUM(J71:J75)</f>
        <v>634407520</v>
      </c>
      <c r="G24" s="512" t="s">
        <v>1509</v>
      </c>
      <c r="H24" s="513"/>
      <c r="I24" s="514"/>
      <c r="K24" s="60"/>
      <c r="N24" s="60"/>
      <c r="O24" s="60"/>
      <c r="P24" s="60"/>
      <c r="Q24" s="60"/>
      <c r="R24" s="60"/>
      <c r="S24" s="60"/>
    </row>
    <row r="25" spans="1:19" ht="15.75">
      <c r="A25" s="43"/>
      <c r="F25" s="515">
        <f>D13</f>
        <v>553337874.7499999</v>
      </c>
      <c r="G25" s="516" t="s">
        <v>1032</v>
      </c>
      <c r="H25" s="196"/>
      <c r="I25" s="265"/>
      <c r="K25" s="60"/>
      <c r="N25" s="60"/>
      <c r="O25" s="60"/>
      <c r="P25" s="60"/>
      <c r="Q25" s="60"/>
      <c r="R25" s="60"/>
      <c r="S25" s="60"/>
    </row>
    <row r="26" spans="1:19" ht="16.5" thickBot="1">
      <c r="A26" s="43"/>
      <c r="F26" s="517">
        <f>ABS((SUM(J71:J75))-F25)</f>
        <v>81069645.25000012</v>
      </c>
      <c r="G26" s="518" t="s">
        <v>1511</v>
      </c>
      <c r="H26" s="519"/>
      <c r="I26" s="520"/>
      <c r="K26" s="60"/>
      <c r="N26" s="60"/>
      <c r="O26" s="60"/>
      <c r="P26" s="60"/>
      <c r="Q26" s="60"/>
      <c r="R26" s="60"/>
      <c r="S26" s="60"/>
    </row>
    <row r="27" spans="1:19" ht="26.25" customHeight="1" thickBot="1">
      <c r="A27" s="43"/>
      <c r="F27" s="48"/>
      <c r="G27" s="560"/>
      <c r="H27" s="196"/>
      <c r="I27" s="196"/>
      <c r="K27" s="60"/>
      <c r="N27" s="60"/>
      <c r="O27" s="60"/>
      <c r="P27" s="60"/>
      <c r="Q27" s="60"/>
      <c r="R27" s="60"/>
      <c r="S27" s="60"/>
    </row>
    <row r="28" spans="1:19" ht="16.5" thickBot="1">
      <c r="A28" s="43"/>
      <c r="F28" s="561">
        <f>F25+D28+D27</f>
        <v>553337874.7499999</v>
      </c>
      <c r="G28" s="516" t="s">
        <v>1246</v>
      </c>
      <c r="H28" s="196"/>
      <c r="I28" s="196"/>
      <c r="K28" s="60"/>
      <c r="N28" s="60"/>
      <c r="O28" s="60"/>
      <c r="P28" s="60"/>
      <c r="Q28" s="60"/>
      <c r="R28" s="60"/>
      <c r="S28" s="60"/>
    </row>
    <row r="29" spans="1:19" ht="16.5" thickBot="1">
      <c r="A29" s="43"/>
      <c r="B29" s="218"/>
      <c r="C29" s="218"/>
      <c r="F29" s="562">
        <f>ABS((SUM(J71:J75))-F28)</f>
        <v>81069645.25000012</v>
      </c>
      <c r="G29" s="560" t="s">
        <v>1247</v>
      </c>
      <c r="K29" s="60"/>
      <c r="N29" s="60"/>
      <c r="O29" s="60"/>
      <c r="P29" s="60"/>
      <c r="Q29" s="60"/>
      <c r="R29" s="60"/>
      <c r="S29" s="60"/>
    </row>
    <row r="30" spans="1:19" ht="15.75">
      <c r="A30" s="43"/>
      <c r="B30" s="218"/>
      <c r="C30" s="224" t="s">
        <v>104</v>
      </c>
      <c r="F30" s="48"/>
      <c r="G30" s="48"/>
      <c r="K30" s="60"/>
      <c r="N30" s="60"/>
      <c r="O30" s="60"/>
      <c r="P30" s="60"/>
      <c r="Q30" s="60"/>
      <c r="R30" s="60"/>
      <c r="S30" s="60"/>
    </row>
    <row r="31" spans="1:19" ht="15.75">
      <c r="A31" s="43"/>
      <c r="B31" s="1226" t="s">
        <v>105</v>
      </c>
      <c r="C31" s="225" t="s">
        <v>106</v>
      </c>
      <c r="F31" s="48"/>
      <c r="K31" s="60"/>
      <c r="N31" s="60"/>
      <c r="O31" s="60"/>
      <c r="P31" s="60"/>
      <c r="Q31" s="60"/>
      <c r="R31" s="60"/>
      <c r="S31" s="60"/>
    </row>
    <row r="32" spans="1:19" ht="15.75">
      <c r="A32" s="43"/>
      <c r="B32" s="1227"/>
      <c r="C32" s="225" t="s">
        <v>107</v>
      </c>
      <c r="F32" s="242">
        <f ca="1">-(OFFSET('BALANCE-DEVENGO'!$A$7,MATCH(C30,'BALANCE-DEVENGO'!A8:A350,0),7)-OFFSET('BALANCE-DEVENGO'!$A$7,MATCH(C31,'BALANCE-DEVENGO'!A8:A350,0),7)-OFFSET('BALANCE-DEVENGO'!$A$7,MATCH(C32,'BALANCE-DEVENGO'!A8:A350,0),7)-OFFSET('BALANCE-DEVENGO'!$A$7,MATCH(C33,'BALANCE-DEVENGO'!A8:A350,0),7))</f>
        <v>3022752.6300000004</v>
      </c>
      <c r="K32" s="60"/>
      <c r="N32" s="60"/>
      <c r="O32" s="60"/>
      <c r="P32" s="60"/>
      <c r="Q32" s="60"/>
      <c r="R32" s="60"/>
      <c r="S32" s="60"/>
    </row>
    <row r="33" spans="1:19" ht="15.75">
      <c r="A33" s="43"/>
      <c r="B33" s="218"/>
      <c r="C33" s="226" t="s">
        <v>108</v>
      </c>
      <c r="F33" s="48"/>
      <c r="K33" s="60"/>
      <c r="N33" s="60"/>
      <c r="O33" s="60"/>
      <c r="P33" s="60"/>
      <c r="Q33" s="60"/>
      <c r="R33" s="60"/>
      <c r="S33" s="60"/>
    </row>
    <row r="34" spans="1:19" ht="15">
      <c r="A34" s="43"/>
      <c r="B34" s="218"/>
      <c r="C34" s="218"/>
      <c r="F34" s="48"/>
      <c r="K34" s="60"/>
      <c r="N34" s="60"/>
      <c r="O34" s="60"/>
      <c r="P34" s="60"/>
      <c r="Q34" s="60"/>
      <c r="R34" s="60"/>
      <c r="S34" s="60"/>
    </row>
    <row r="35" spans="1:19" ht="15.75">
      <c r="A35" s="43"/>
      <c r="B35" s="227" t="s">
        <v>109</v>
      </c>
      <c r="C35" s="227" t="s">
        <v>106</v>
      </c>
      <c r="F35" s="242">
        <f ca="1">-OFFSET('BALANCE-DEVENGO'!$A$7,MATCH(C35,'BALANCE-DEVENGO'!A8:A350,0),7)</f>
        <v>2602562.79</v>
      </c>
      <c r="K35" s="60"/>
      <c r="N35" s="60"/>
      <c r="O35" s="60"/>
      <c r="P35" s="60"/>
      <c r="Q35" s="60"/>
      <c r="R35" s="60"/>
      <c r="S35" s="60"/>
    </row>
    <row r="36" spans="1:19" ht="15">
      <c r="A36" s="43"/>
      <c r="B36" s="218"/>
      <c r="C36" s="218"/>
      <c r="F36" s="48"/>
      <c r="K36" s="60"/>
      <c r="N36" s="60"/>
      <c r="O36" s="60"/>
      <c r="P36" s="60"/>
      <c r="Q36" s="60"/>
      <c r="R36" s="60"/>
      <c r="S36" s="60"/>
    </row>
    <row r="37" spans="1:19" ht="15.75">
      <c r="A37" s="43"/>
      <c r="B37" s="228" t="s">
        <v>110</v>
      </c>
      <c r="C37" s="228" t="s">
        <v>107</v>
      </c>
      <c r="F37" s="242">
        <f ca="1">-OFFSET('BALANCE-DEVENGO'!$A$7,MATCH(C37,'BALANCE-DEVENGO'!A8:A350,0),7)</f>
        <v>103738.78</v>
      </c>
      <c r="K37" s="60"/>
      <c r="N37" s="60"/>
      <c r="O37" s="60"/>
      <c r="P37" s="60"/>
      <c r="Q37" s="60"/>
      <c r="R37" s="60"/>
      <c r="S37" s="60"/>
    </row>
    <row r="38" spans="1:19" ht="15">
      <c r="A38" s="43"/>
      <c r="B38" s="218"/>
      <c r="C38" s="218"/>
      <c r="F38" s="48"/>
      <c r="K38" s="60"/>
      <c r="N38" s="60"/>
      <c r="O38" s="60"/>
      <c r="P38" s="60"/>
      <c r="Q38" s="60"/>
      <c r="R38" s="60"/>
      <c r="S38" s="60"/>
    </row>
    <row r="39" spans="1:19" ht="15.75">
      <c r="A39" s="43"/>
      <c r="B39" s="229" t="s">
        <v>111</v>
      </c>
      <c r="C39" s="230" t="s">
        <v>108</v>
      </c>
      <c r="E39" s="43"/>
      <c r="F39" s="242">
        <f ca="1">-OFFSET('BALANCE-DEVENGO'!$A$7,MATCH(C39,'BALANCE-DEVENGO'!A8:A350,0),7)</f>
        <v>0</v>
      </c>
      <c r="G39" s="43"/>
      <c r="H39" s="43"/>
      <c r="I39" s="60"/>
      <c r="J39" s="60"/>
      <c r="K39" s="60"/>
      <c r="N39" s="60"/>
      <c r="O39" s="60"/>
      <c r="P39" s="60"/>
      <c r="Q39" s="60"/>
      <c r="R39" s="60"/>
      <c r="S39" s="60"/>
    </row>
    <row r="40" spans="1:19" ht="15.75">
      <c r="A40" s="43"/>
      <c r="B40" s="40"/>
      <c r="C40" s="40"/>
      <c r="E40" s="43"/>
      <c r="G40" s="43"/>
      <c r="H40" s="43"/>
      <c r="I40" s="60"/>
      <c r="J40" s="60"/>
      <c r="K40" s="60"/>
      <c r="N40" s="60"/>
      <c r="O40" s="60"/>
      <c r="P40" s="60"/>
      <c r="Q40" s="60"/>
      <c r="R40" s="60"/>
      <c r="S40" s="60"/>
    </row>
    <row r="41" spans="1:19" ht="31.5">
      <c r="A41" s="43"/>
      <c r="B41" s="40"/>
      <c r="C41" s="40"/>
      <c r="D41" s="182" t="s">
        <v>40</v>
      </c>
      <c r="E41" s="43"/>
      <c r="G41" s="43"/>
      <c r="H41" s="43"/>
      <c r="I41" s="60"/>
      <c r="J41" s="60"/>
      <c r="K41" s="60"/>
      <c r="N41" s="60"/>
      <c r="O41" s="60"/>
      <c r="P41" s="60"/>
      <c r="Q41" s="60"/>
      <c r="R41" s="60"/>
      <c r="S41" s="60"/>
    </row>
    <row r="42" spans="1:19" ht="15.75">
      <c r="A42" s="43"/>
      <c r="B42" s="40"/>
      <c r="C42" s="51"/>
      <c r="D42" s="105"/>
      <c r="E42" s="43"/>
      <c r="G42" s="43"/>
      <c r="H42" s="43"/>
      <c r="I42" s="60"/>
      <c r="J42" s="60"/>
      <c r="K42" s="60"/>
      <c r="N42" s="60"/>
      <c r="O42" s="60"/>
      <c r="P42" s="60"/>
      <c r="Q42" s="60"/>
      <c r="R42" s="60"/>
      <c r="S42" s="60"/>
    </row>
    <row r="43" spans="1:19" ht="15.75">
      <c r="A43" s="43"/>
      <c r="B43" s="40" t="s">
        <v>1304</v>
      </c>
      <c r="C43" s="113">
        <f ca="1">OFFSET(BALANCE!$A$7,MATCH(F43,BALANCE!$A$8:$A$350,0),4)</f>
        <v>37807527.29</v>
      </c>
      <c r="D43" s="266"/>
      <c r="E43" s="267"/>
      <c r="F43" s="268" t="s">
        <v>860</v>
      </c>
      <c r="G43" s="43"/>
      <c r="H43" s="43"/>
      <c r="I43" s="60"/>
      <c r="J43" s="60"/>
      <c r="K43" s="60"/>
      <c r="N43" s="60"/>
      <c r="O43" s="60"/>
      <c r="P43" s="60"/>
      <c r="Q43" s="60"/>
      <c r="R43" s="60"/>
      <c r="S43" s="60"/>
    </row>
    <row r="44" spans="1:19" ht="16.5" thickBot="1">
      <c r="A44" s="43"/>
      <c r="B44" s="43"/>
      <c r="C44" s="74"/>
      <c r="D44" s="105"/>
      <c r="E44" s="43"/>
      <c r="G44" s="45"/>
      <c r="H44" s="43"/>
      <c r="I44" s="61"/>
      <c r="J44" s="61"/>
      <c r="K44" s="61"/>
      <c r="N44" s="60"/>
      <c r="O44" s="60"/>
      <c r="P44" s="60"/>
      <c r="Q44" s="60"/>
      <c r="R44" s="60"/>
      <c r="S44" s="60"/>
    </row>
    <row r="45" spans="1:18" ht="15.75">
      <c r="A45" s="900">
        <f ca="1">-OFFSET(BALANCE!$A$7,MATCH(F45,BALANCE!$A$8:$A$350,0),4)*0</f>
        <v>0</v>
      </c>
      <c r="B45" s="40" t="s">
        <v>1490</v>
      </c>
      <c r="C45" s="407">
        <f ca="1">-OFFSET(BALANCE!$A$7,MATCH(F45,BALANCE!$A$8:$A$350,0),4)*0</f>
        <v>0</v>
      </c>
      <c r="D45" s="405"/>
      <c r="E45" s="43"/>
      <c r="F45" s="268" t="s">
        <v>851</v>
      </c>
      <c r="G45" s="45"/>
      <c r="H45" s="43"/>
      <c r="I45" s="60"/>
      <c r="J45" s="60"/>
      <c r="K45" s="60"/>
      <c r="N45" s="60"/>
      <c r="O45" s="60"/>
      <c r="P45" s="60"/>
      <c r="Q45" s="60"/>
      <c r="R45" s="60"/>
    </row>
    <row r="46" spans="1:18" ht="15.75">
      <c r="A46" s="43"/>
      <c r="B46" s="40" t="s">
        <v>1491</v>
      </c>
      <c r="C46" s="408">
        <f ca="1">-OFFSET(BALANCE!$A$7,MATCH(F46,BALANCE!A8:A350,0),4)</f>
        <v>12.53</v>
      </c>
      <c r="D46" s="406"/>
      <c r="E46" s="267"/>
      <c r="F46" s="268" t="s">
        <v>365</v>
      </c>
      <c r="G46" s="43"/>
      <c r="H46" s="43"/>
      <c r="I46" s="60"/>
      <c r="J46" s="60"/>
      <c r="K46" s="60"/>
      <c r="L46" s="43"/>
      <c r="M46" s="43"/>
      <c r="N46" s="43"/>
      <c r="O46" s="43"/>
      <c r="P46" s="43"/>
      <c r="Q46" s="43"/>
      <c r="R46" s="43"/>
    </row>
    <row r="47" spans="1:18" ht="16.5" thickBot="1">
      <c r="A47" s="43"/>
      <c r="B47" s="269"/>
      <c r="C47" s="409"/>
      <c r="D47" s="405"/>
      <c r="E47" s="43"/>
      <c r="F47" s="43"/>
      <c r="G47" s="43"/>
      <c r="H47" s="43"/>
      <c r="I47" s="45"/>
      <c r="J47" s="45"/>
      <c r="K47" s="45"/>
      <c r="L47" s="43"/>
      <c r="M47" s="43"/>
      <c r="N47" s="43"/>
      <c r="O47" s="43"/>
      <c r="P47" s="43"/>
      <c r="Q47" s="43"/>
      <c r="R47" s="43"/>
    </row>
    <row r="48" spans="1:18" ht="15.75" thickBot="1">
      <c r="A48" s="43"/>
      <c r="B48" s="85"/>
      <c r="C48" s="115"/>
      <c r="D48" s="104"/>
      <c r="E48" s="43"/>
      <c r="G48" s="43"/>
      <c r="H48" s="43"/>
      <c r="I48" s="50"/>
      <c r="J48" s="50"/>
      <c r="K48" s="50"/>
      <c r="L48" s="43"/>
      <c r="M48" s="43"/>
      <c r="N48" s="43"/>
      <c r="O48" s="43"/>
      <c r="P48" s="43"/>
      <c r="Q48" s="43"/>
      <c r="R48" s="43"/>
    </row>
    <row r="49" spans="1:14" ht="16.5" thickTop="1">
      <c r="A49" s="682">
        <f>+C49</f>
        <v>37807514.76</v>
      </c>
      <c r="B49" s="40" t="s">
        <v>1305</v>
      </c>
      <c r="C49" s="116">
        <f>+C43-SUM(C44:C48)</f>
        <v>37807514.76</v>
      </c>
      <c r="D49" s="104"/>
      <c r="E49" s="44"/>
      <c r="M49" s="43"/>
      <c r="N49" s="43"/>
    </row>
    <row r="50" spans="1:14" ht="15.75" thickBot="1">
      <c r="A50" s="43"/>
      <c r="B50" s="43"/>
      <c r="C50" s="117"/>
      <c r="D50" s="104"/>
      <c r="M50" s="43"/>
      <c r="N50" s="43"/>
    </row>
    <row r="51" spans="1:7" ht="16.5" thickBot="1">
      <c r="A51" s="682">
        <f>+A49-C51</f>
        <v>37807514.76</v>
      </c>
      <c r="B51" s="43" t="s">
        <v>999</v>
      </c>
      <c r="C51" s="113">
        <f ca="1">-OFFSET(BALANCE!$A$7,MATCH(F51,BALANCE!A8:A350,0),4)</f>
        <v>0</v>
      </c>
      <c r="D51" s="266"/>
      <c r="E51" s="267"/>
      <c r="F51" s="501" t="s">
        <v>855</v>
      </c>
      <c r="G51" s="502">
        <v>0</v>
      </c>
    </row>
    <row r="52" spans="1:6" ht="15.75">
      <c r="A52" s="43"/>
      <c r="B52" s="43"/>
      <c r="C52" s="114"/>
      <c r="D52" s="108"/>
      <c r="E52" s="43"/>
      <c r="F52" s="51"/>
    </row>
    <row r="53" spans="1:6" ht="15.75">
      <c r="A53" s="43"/>
      <c r="B53" s="43"/>
      <c r="C53" s="114"/>
      <c r="D53" s="108"/>
      <c r="E53" s="43"/>
      <c r="F53" s="2" t="s">
        <v>972</v>
      </c>
    </row>
    <row r="54" spans="1:6" ht="15.75">
      <c r="A54" s="43"/>
      <c r="B54" s="43"/>
      <c r="C54" s="114"/>
      <c r="D54" s="108"/>
      <c r="E54" s="43"/>
      <c r="F54" s="40" t="s">
        <v>969</v>
      </c>
    </row>
    <row r="55" spans="1:6" ht="15.75">
      <c r="A55" s="682">
        <f>+A51-C55</f>
        <v>37779923.667704105</v>
      </c>
      <c r="B55" s="43" t="s">
        <v>1009</v>
      </c>
      <c r="C55" s="114">
        <f>G57*0.02%*(I62-I61)/365</f>
        <v>27591.09229589041</v>
      </c>
      <c r="D55" s="108" t="s">
        <v>14</v>
      </c>
      <c r="E55" s="43"/>
      <c r="F55" s="132" t="s">
        <v>968</v>
      </c>
    </row>
    <row r="56" spans="1:18" ht="15.75">
      <c r="A56" s="43"/>
      <c r="B56" s="43"/>
      <c r="C56" s="114"/>
      <c r="D56" s="108"/>
      <c r="E56" s="43"/>
      <c r="F56" s="51" t="s">
        <v>971</v>
      </c>
      <c r="P56" s="1207" t="s">
        <v>803</v>
      </c>
      <c r="Q56" s="1208"/>
      <c r="R56" s="1209"/>
    </row>
    <row r="57" spans="1:18" ht="15.75">
      <c r="A57" s="43"/>
      <c r="C57" s="114"/>
      <c r="D57" s="107"/>
      <c r="E57" s="103"/>
      <c r="F57" s="131" t="s">
        <v>973</v>
      </c>
      <c r="G57" s="51">
        <f>J80</f>
        <v>553337840</v>
      </c>
      <c r="I57" s="48"/>
      <c r="O57" s="426" t="str">
        <f>+F71</f>
        <v>Serie A1</v>
      </c>
      <c r="P57" s="270">
        <f>I71*L71*($I$62-$I$61)/360</f>
        <v>0</v>
      </c>
      <c r="Q57" s="271">
        <f>P57*$Q$70</f>
        <v>0</v>
      </c>
      <c r="R57" s="272">
        <f>+P57-Q57</f>
        <v>0</v>
      </c>
    </row>
    <row r="58" spans="4:18" ht="16.5" thickBot="1">
      <c r="D58" s="108"/>
      <c r="E58" s="103"/>
      <c r="F58" s="51"/>
      <c r="I58" s="48"/>
      <c r="O58" s="476" t="str">
        <f>+F72</f>
        <v>Serie A2</v>
      </c>
      <c r="P58" s="274">
        <f>I72*L72*($I$62-$I$61)/360</f>
        <v>139.65982424333333</v>
      </c>
      <c r="Q58" s="275">
        <f>P58*$Q$70</f>
        <v>26.53536660623333</v>
      </c>
      <c r="R58" s="276">
        <f>+P58-Q58</f>
        <v>113.1244576371</v>
      </c>
    </row>
    <row r="59" spans="1:24" ht="15.75">
      <c r="A59" s="43"/>
      <c r="B59" s="43"/>
      <c r="C59" s="114"/>
      <c r="D59" s="107"/>
      <c r="E59" s="103"/>
      <c r="F59" s="51"/>
      <c r="I59" s="48"/>
      <c r="O59" s="476" t="str">
        <f>+F73</f>
        <v>Serie B</v>
      </c>
      <c r="P59" s="274">
        <f>I73*L73*($I$62-$I$61)/360</f>
        <v>251.26111111111115</v>
      </c>
      <c r="Q59" s="275">
        <f>P59*$Q$70</f>
        <v>47.73961111111112</v>
      </c>
      <c r="R59" s="276">
        <f>+P59-Q59</f>
        <v>203.52150000000003</v>
      </c>
      <c r="W59" s="951" t="s">
        <v>480</v>
      </c>
      <c r="X59" s="954">
        <f>Español!Q76</f>
        <v>2.172258</v>
      </c>
    </row>
    <row r="60" spans="2:24" ht="16.5" thickBot="1">
      <c r="B60" s="43"/>
      <c r="C60" s="114"/>
      <c r="D60" s="108"/>
      <c r="E60" s="103"/>
      <c r="J60" s="48">
        <f>+J72-C103</f>
        <v>413337840</v>
      </c>
      <c r="O60" s="476" t="str">
        <f>+F74</f>
        <v>Serie C</v>
      </c>
      <c r="P60" s="274">
        <f>I74*L74*($I$62-$I$61)/360</f>
        <v>365.0111111111112</v>
      </c>
      <c r="Q60" s="275">
        <f>P60*$Q$70</f>
        <v>69.35211111111113</v>
      </c>
      <c r="R60" s="276">
        <f>+P60-Q60</f>
        <v>295.65900000000005</v>
      </c>
      <c r="W60" s="952" t="s">
        <v>481</v>
      </c>
      <c r="X60" s="955">
        <f>SUMPRODUCT(L71:L75,K71:K75)*100</f>
        <v>1.1514851810604532</v>
      </c>
    </row>
    <row r="61" spans="1:24" ht="16.5" thickBot="1">
      <c r="A61" s="43"/>
      <c r="B61" s="43"/>
      <c r="C61" s="114"/>
      <c r="D61" s="107"/>
      <c r="E61" s="103"/>
      <c r="F61" s="385">
        <v>3660655.44</v>
      </c>
      <c r="H61" s="494" t="s">
        <v>35</v>
      </c>
      <c r="I61" s="495">
        <v>40259</v>
      </c>
      <c r="O61" s="477" t="str">
        <f>+F75</f>
        <v>Serie D</v>
      </c>
      <c r="P61" s="277">
        <f>I75*L75*($I$62-$I$61)/360</f>
        <v>541.9555555555555</v>
      </c>
      <c r="Q61" s="278">
        <f>P61*$Q$70</f>
        <v>102.97155555555555</v>
      </c>
      <c r="R61" s="279">
        <f>+P61-Q61</f>
        <v>438.984</v>
      </c>
      <c r="W61" s="953" t="s">
        <v>482</v>
      </c>
      <c r="X61" s="956">
        <f>+X59-X60</f>
        <v>1.0207728189395466</v>
      </c>
    </row>
    <row r="62" spans="1:23" ht="16.5" thickBot="1">
      <c r="A62" s="682">
        <f>+A55-C62</f>
        <v>35837226.11770411</v>
      </c>
      <c r="B62" s="43" t="s">
        <v>17</v>
      </c>
      <c r="C62" s="383">
        <f>F61-F62</f>
        <v>1942697.55</v>
      </c>
      <c r="D62" s="384"/>
      <c r="E62" s="103"/>
      <c r="F62" s="386">
        <v>1717957.89</v>
      </c>
      <c r="H62" s="496" t="s">
        <v>34</v>
      </c>
      <c r="I62" s="497">
        <v>40350</v>
      </c>
      <c r="W62" s="716"/>
    </row>
    <row r="63" spans="1:6" ht="16.5" thickBot="1">
      <c r="A63" s="43"/>
      <c r="B63" s="43"/>
      <c r="C63" s="114"/>
      <c r="D63" s="107"/>
      <c r="E63" s="103"/>
      <c r="F63" s="51"/>
    </row>
    <row r="64" spans="1:26" ht="16.5" thickBot="1">
      <c r="A64" s="43"/>
      <c r="B64" s="43"/>
      <c r="C64" s="114"/>
      <c r="D64" s="107"/>
      <c r="E64" s="103"/>
      <c r="F64" s="1223" t="s">
        <v>372</v>
      </c>
      <c r="G64" s="1224"/>
      <c r="H64" s="1224"/>
      <c r="I64" s="1224"/>
      <c r="J64" s="1224"/>
      <c r="K64" s="1224"/>
      <c r="L64" s="1224"/>
      <c r="M64" s="1224"/>
      <c r="N64" s="1224"/>
      <c r="O64" s="1225"/>
      <c r="P64" s="249"/>
      <c r="Q64" s="249"/>
      <c r="R64" s="249"/>
      <c r="S64" s="249"/>
      <c r="U64" s="1228" t="s">
        <v>373</v>
      </c>
      <c r="V64" s="1229"/>
      <c r="W64" s="1229"/>
      <c r="X64" s="1229"/>
      <c r="Y64" s="1229"/>
      <c r="Z64" s="1230"/>
    </row>
    <row r="65" spans="1:5" ht="15.75">
      <c r="A65" s="43"/>
      <c r="B65" s="43"/>
      <c r="C65" s="74"/>
      <c r="D65" s="104"/>
      <c r="E65" s="44"/>
    </row>
    <row r="66" spans="1:14" ht="16.5" thickBot="1">
      <c r="A66" s="682">
        <f>+A62-C66</f>
        <v>35837226.11770411</v>
      </c>
      <c r="B66" s="43" t="s">
        <v>1000</v>
      </c>
      <c r="C66" s="114">
        <f>ROUND(P71,2)*G71</f>
        <v>0</v>
      </c>
      <c r="D66" s="108" t="s">
        <v>14</v>
      </c>
      <c r="E66" s="103"/>
      <c r="H66" s="43"/>
      <c r="I66" s="43"/>
      <c r="J66" s="43"/>
      <c r="K66" s="43"/>
      <c r="L66" s="43"/>
      <c r="M66" s="43"/>
      <c r="N66" s="43"/>
    </row>
    <row r="67" spans="1:24" ht="16.5" thickBot="1">
      <c r="A67" s="43"/>
      <c r="B67" s="43"/>
      <c r="C67" s="114"/>
      <c r="D67" s="106"/>
      <c r="E67" s="44"/>
      <c r="H67" s="53"/>
      <c r="J67" s="122" t="s">
        <v>1248</v>
      </c>
      <c r="K67" s="122"/>
      <c r="L67" s="148">
        <f ca="1">OFFSET('tipos interés EBAN 1'!$A$20,0,MATCH($I$61,'tipos interés EBAN 1'!$B$18:$R$18,0))</f>
        <v>0.00644</v>
      </c>
      <c r="N67" s="53"/>
      <c r="O67" s="53"/>
      <c r="P67" s="53"/>
      <c r="Q67" s="53"/>
      <c r="R67" s="53"/>
      <c r="S67" s="53"/>
      <c r="V67" s="122" t="s">
        <v>1248</v>
      </c>
      <c r="W67" s="122"/>
      <c r="X67" s="148">
        <f ca="1">OFFSET('tipos interés EBAN 1'!$A$20,0,MATCH($I$62,'tipos interés EBAN 1'!$B$18:$R$18,0))</f>
        <v>0.00729</v>
      </c>
    </row>
    <row r="68" spans="1:19" ht="16.5" thickBot="1">
      <c r="A68" s="682">
        <f>+A66-C68</f>
        <v>34719946.11770411</v>
      </c>
      <c r="B68" s="43" t="s">
        <v>1001</v>
      </c>
      <c r="C68" s="114">
        <f>ROUND(P72,2)*G72</f>
        <v>1117280</v>
      </c>
      <c r="D68" s="108" t="s">
        <v>14</v>
      </c>
      <c r="E68" s="103"/>
      <c r="F68" s="53"/>
      <c r="G68" s="53"/>
      <c r="H68" s="53"/>
      <c r="L68" s="53"/>
      <c r="M68" s="1210" t="s">
        <v>374</v>
      </c>
      <c r="N68" s="1211"/>
      <c r="O68" s="1212"/>
      <c r="P68" s="1210" t="s">
        <v>375</v>
      </c>
      <c r="Q68" s="1211"/>
      <c r="R68" s="1212"/>
      <c r="S68" s="53"/>
    </row>
    <row r="69" spans="1:31" ht="18" thickBot="1" thickTop="1">
      <c r="A69" s="43"/>
      <c r="B69" s="43"/>
      <c r="C69" s="114"/>
      <c r="D69" s="106"/>
      <c r="F69" s="121" t="s">
        <v>36</v>
      </c>
      <c r="G69" s="53"/>
      <c r="H69" s="53"/>
      <c r="I69" s="179" t="s">
        <v>962</v>
      </c>
      <c r="J69" s="180" t="s">
        <v>985</v>
      </c>
      <c r="K69" s="180" t="s">
        <v>994</v>
      </c>
      <c r="L69" s="180" t="s">
        <v>992</v>
      </c>
      <c r="M69" s="251" t="s">
        <v>1502</v>
      </c>
      <c r="N69" s="251" t="s">
        <v>966</v>
      </c>
      <c r="O69" s="251" t="s">
        <v>1502</v>
      </c>
      <c r="P69" s="251" t="s">
        <v>1502</v>
      </c>
      <c r="Q69" s="251" t="s">
        <v>966</v>
      </c>
      <c r="R69" s="252" t="s">
        <v>1502</v>
      </c>
      <c r="S69" s="254" t="s">
        <v>40</v>
      </c>
      <c r="U69" s="179" t="s">
        <v>962</v>
      </c>
      <c r="V69" s="179" t="s">
        <v>643</v>
      </c>
      <c r="W69" s="180" t="s">
        <v>985</v>
      </c>
      <c r="X69" s="180" t="s">
        <v>994</v>
      </c>
      <c r="Y69" s="180" t="s">
        <v>996</v>
      </c>
      <c r="AA69" s="486" t="s">
        <v>1478</v>
      </c>
      <c r="AB69" s="1205" t="s">
        <v>508</v>
      </c>
      <c r="AC69" s="1206"/>
      <c r="AD69" s="1205" t="s">
        <v>1479</v>
      </c>
      <c r="AE69" s="1206"/>
    </row>
    <row r="70" spans="1:31" ht="17.25" thickBot="1">
      <c r="A70" s="682">
        <f>+A68-C70</f>
        <v>34544064.11770411</v>
      </c>
      <c r="B70" s="43" t="s">
        <v>1002</v>
      </c>
      <c r="C70" s="114">
        <f>ROUND(P73,2)*G73</f>
        <v>175882</v>
      </c>
      <c r="D70" s="108" t="s">
        <v>14</v>
      </c>
      <c r="E70" s="103"/>
      <c r="F70" s="175" t="s">
        <v>963</v>
      </c>
      <c r="G70" s="175" t="s">
        <v>964</v>
      </c>
      <c r="H70" s="176" t="s">
        <v>965</v>
      </c>
      <c r="I70" s="177" t="str">
        <f>"a "&amp;TEXT($I$61,"dd mm aa")</f>
        <v>a 22 03 10</v>
      </c>
      <c r="J70" s="178" t="s">
        <v>986</v>
      </c>
      <c r="K70" s="178" t="s">
        <v>995</v>
      </c>
      <c r="L70" s="178" t="s">
        <v>993</v>
      </c>
      <c r="M70" s="178" t="s">
        <v>961</v>
      </c>
      <c r="N70" s="181">
        <v>0.19</v>
      </c>
      <c r="O70" s="178" t="s">
        <v>967</v>
      </c>
      <c r="P70" s="178" t="s">
        <v>961</v>
      </c>
      <c r="Q70" s="181">
        <f>N70</f>
        <v>0.19</v>
      </c>
      <c r="R70" s="253" t="s">
        <v>967</v>
      </c>
      <c r="S70" s="255" t="s">
        <v>376</v>
      </c>
      <c r="U70" s="177" t="str">
        <f>"a "&amp;TEXT($I$62,"dd mm aa")</f>
        <v>a 21 06 10</v>
      </c>
      <c r="V70" s="177" t="s">
        <v>644</v>
      </c>
      <c r="W70" s="178" t="s">
        <v>986</v>
      </c>
      <c r="X70" s="178" t="s">
        <v>995</v>
      </c>
      <c r="Y70" s="178" t="s">
        <v>997</v>
      </c>
      <c r="AA70" s="487"/>
      <c r="AB70" s="488" t="s">
        <v>1480</v>
      </c>
      <c r="AC70" s="489" t="s">
        <v>1481</v>
      </c>
      <c r="AD70" s="488" t="s">
        <v>1480</v>
      </c>
      <c r="AE70" s="490" t="s">
        <v>1481</v>
      </c>
    </row>
    <row r="71" spans="1:31" ht="17.25" thickBot="1">
      <c r="A71" s="43"/>
      <c r="B71" s="43"/>
      <c r="C71" s="114"/>
      <c r="D71" s="109"/>
      <c r="E71" s="83"/>
      <c r="F71" s="123" t="s">
        <v>29</v>
      </c>
      <c r="G71" s="124">
        <v>10600</v>
      </c>
      <c r="H71" s="125">
        <v>0.0009</v>
      </c>
      <c r="I71" s="141">
        <v>0</v>
      </c>
      <c r="J71" s="160">
        <f>I71*G71</f>
        <v>0</v>
      </c>
      <c r="K71" s="161">
        <f>J71/$J$80</f>
        <v>0</v>
      </c>
      <c r="L71" s="127">
        <f>$L$67+H71</f>
        <v>0.00734</v>
      </c>
      <c r="M71" s="128">
        <f>ROUND(G71*O81,2)</f>
        <v>0</v>
      </c>
      <c r="N71" s="128">
        <f>ROUND(M71*$N$70,2)</f>
        <v>0</v>
      </c>
      <c r="O71" s="128">
        <f>M71-N71</f>
        <v>0</v>
      </c>
      <c r="P71" s="128">
        <f>O81</f>
        <v>0</v>
      </c>
      <c r="Q71" s="128">
        <f>O83</f>
        <v>0</v>
      </c>
      <c r="R71" s="128">
        <f>O85</f>
        <v>0</v>
      </c>
      <c r="S71" s="256">
        <f>IF(ROUND(P71-Q71-R71,12)=0,"","error decimales")</f>
      </c>
      <c r="T71" s="143" t="s">
        <v>984</v>
      </c>
      <c r="U71" s="145">
        <f>W71/G71</f>
        <v>0</v>
      </c>
      <c r="V71" s="258">
        <v>0</v>
      </c>
      <c r="W71" s="144">
        <f>MAX(0,MIN(J71,J71-C103))</f>
        <v>0</v>
      </c>
      <c r="X71" s="163">
        <f>W71/$W$80</f>
        <v>0</v>
      </c>
      <c r="Y71" s="144">
        <f>J71-W71</f>
        <v>0</v>
      </c>
      <c r="AA71" s="491" t="str">
        <f>TEXT(I61,"DD.MM.AAAA")&amp;" - "&amp;TEXT(I62,"DD.MM.AAAA")</f>
        <v>22.03.2010 - 21.06.2010</v>
      </c>
      <c r="AB71" s="492">
        <f>L71</f>
        <v>0.00734</v>
      </c>
      <c r="AC71" s="493">
        <f>AB71*365/360</f>
        <v>0.007441944444444445</v>
      </c>
      <c r="AD71" s="492">
        <f>L72</f>
        <v>0.00894</v>
      </c>
      <c r="AE71" s="493">
        <f>AD71*365/360</f>
        <v>0.009064166666666667</v>
      </c>
    </row>
    <row r="72" spans="1:25" ht="16.5" thickBot="1">
      <c r="A72" s="682">
        <f>+A70-C72</f>
        <v>34416310.61770411</v>
      </c>
      <c r="B72" s="43" t="s">
        <v>1003</v>
      </c>
      <c r="C72" s="114">
        <f>ROUND(P74,2)*G74</f>
        <v>127753.5</v>
      </c>
      <c r="D72" s="108" t="s">
        <v>14</v>
      </c>
      <c r="F72" s="123" t="s">
        <v>30</v>
      </c>
      <c r="G72" s="124">
        <v>8000</v>
      </c>
      <c r="H72" s="125">
        <v>0.0025</v>
      </c>
      <c r="I72" s="126">
        <v>61800.94</v>
      </c>
      <c r="J72" s="160">
        <f>I72*G72</f>
        <v>494407520</v>
      </c>
      <c r="K72" s="162">
        <f>J72/$J$80</f>
        <v>0.8935002890819829</v>
      </c>
      <c r="L72" s="129">
        <f>$L$67+H72</f>
        <v>0.00894</v>
      </c>
      <c r="M72" s="128">
        <f>ROUND(G72*P81,2)</f>
        <v>1117280</v>
      </c>
      <c r="N72" s="128">
        <f>M72*$N$70</f>
        <v>212283.2</v>
      </c>
      <c r="O72" s="128">
        <f>M72-N72</f>
        <v>904996.8</v>
      </c>
      <c r="P72" s="128">
        <f>P81</f>
        <v>139.66</v>
      </c>
      <c r="Q72" s="128">
        <f>P83</f>
        <v>26.54</v>
      </c>
      <c r="R72" s="128">
        <f>P85</f>
        <v>113.12</v>
      </c>
      <c r="S72" s="256">
        <f>IF(ROUND(P72-Q72-R72,12)=0,"","error decimales")</f>
      </c>
      <c r="T72" s="143" t="s">
        <v>984</v>
      </c>
      <c r="U72" s="145">
        <f>W72/G72</f>
        <v>51667.23</v>
      </c>
      <c r="V72" s="258">
        <f>ROUND(V79/G72,2)</f>
        <v>10133.71</v>
      </c>
      <c r="W72" s="144">
        <f>J72-V72*G72</f>
        <v>413337840</v>
      </c>
      <c r="X72" s="164">
        <f>W72/$W$80</f>
        <v>0.7469900124668865</v>
      </c>
      <c r="Y72" s="144">
        <f>J72-W72</f>
        <v>81069680</v>
      </c>
    </row>
    <row r="73" spans="1:31" ht="18" thickBot="1" thickTop="1">
      <c r="A73" s="43"/>
      <c r="B73" s="43"/>
      <c r="C73" s="114"/>
      <c r="D73" s="107"/>
      <c r="F73" s="123" t="s">
        <v>1507</v>
      </c>
      <c r="G73" s="130">
        <v>700</v>
      </c>
      <c r="H73" s="125">
        <v>0.0035</v>
      </c>
      <c r="I73" s="126">
        <v>100000</v>
      </c>
      <c r="J73" s="160">
        <f>I73*G73</f>
        <v>70000000</v>
      </c>
      <c r="K73" s="162">
        <f>J73/$J$80</f>
        <v>0.1265049937665568</v>
      </c>
      <c r="L73" s="129">
        <f>$L$67+H73</f>
        <v>0.009940000000000001</v>
      </c>
      <c r="M73" s="128">
        <f>G73*Q81</f>
        <v>175882</v>
      </c>
      <c r="N73" s="128">
        <f>M73*$N$70</f>
        <v>33417.58</v>
      </c>
      <c r="O73" s="128">
        <f>M73-N73</f>
        <v>142464.41999999998</v>
      </c>
      <c r="P73" s="128">
        <f>Q81</f>
        <v>251.26</v>
      </c>
      <c r="Q73" s="128">
        <f>Q83</f>
        <v>47.74</v>
      </c>
      <c r="R73" s="128">
        <f>Q85</f>
        <v>203.51999999999998</v>
      </c>
      <c r="S73" s="256">
        <f>IF(ROUND(P73-Q73-R73,12)=0,"","error decimales")</f>
      </c>
      <c r="T73" s="143" t="s">
        <v>984</v>
      </c>
      <c r="U73" s="145">
        <f>W73/G73</f>
        <v>100000</v>
      </c>
      <c r="V73" s="258">
        <v>0</v>
      </c>
      <c r="W73" s="144">
        <f>MAX(0,MIN(J73,J73-C105))</f>
        <v>70000000</v>
      </c>
      <c r="X73" s="164">
        <f>W73/$W$80</f>
        <v>0.1265049937665568</v>
      </c>
      <c r="Y73" s="144">
        <f>J73-W73</f>
        <v>0</v>
      </c>
      <c r="AA73" s="486" t="s">
        <v>1478</v>
      </c>
      <c r="AB73" s="1205" t="s">
        <v>509</v>
      </c>
      <c r="AC73" s="1206"/>
      <c r="AD73" s="1205" t="s">
        <v>510</v>
      </c>
      <c r="AE73" s="1206"/>
    </row>
    <row r="74" spans="1:31" ht="17.25" thickBot="1">
      <c r="A74" s="682">
        <f>+A72-C74</f>
        <v>34226624.61770411</v>
      </c>
      <c r="B74" s="43" t="s">
        <v>1004</v>
      </c>
      <c r="C74" s="114">
        <f>ROUND(P75,2)*G75</f>
        <v>189686</v>
      </c>
      <c r="D74" s="108" t="s">
        <v>14</v>
      </c>
      <c r="F74" s="123" t="s">
        <v>1495</v>
      </c>
      <c r="G74" s="124">
        <v>350</v>
      </c>
      <c r="H74" s="125">
        <v>0.008</v>
      </c>
      <c r="I74" s="126">
        <v>100000</v>
      </c>
      <c r="J74" s="160">
        <f>I74*G74</f>
        <v>35000000</v>
      </c>
      <c r="K74" s="162">
        <f>J74/$J$80</f>
        <v>0.0632524968832784</v>
      </c>
      <c r="L74" s="129">
        <f>$L$67+H74</f>
        <v>0.014440000000000001</v>
      </c>
      <c r="M74" s="128">
        <f>G74*R81</f>
        <v>127753.5</v>
      </c>
      <c r="N74" s="128">
        <f>M74*$N$70</f>
        <v>24273.165</v>
      </c>
      <c r="O74" s="128">
        <f>M74-N74</f>
        <v>103480.33499999999</v>
      </c>
      <c r="P74" s="128">
        <f>R81</f>
        <v>365.01</v>
      </c>
      <c r="Q74" s="128">
        <f>R83</f>
        <v>69.35</v>
      </c>
      <c r="R74" s="128">
        <f>R85</f>
        <v>295.65999999999997</v>
      </c>
      <c r="S74" s="256">
        <f>IF(ROUND(P74-Q74-R74,12)=0,"","error decimales")</f>
      </c>
      <c r="T74" s="143" t="s">
        <v>984</v>
      </c>
      <c r="U74" s="145">
        <f>W74/G74</f>
        <v>100000</v>
      </c>
      <c r="V74" s="258">
        <v>0</v>
      </c>
      <c r="W74" s="144">
        <f>MAX(0,MIN(J74,J74-C106))</f>
        <v>35000000</v>
      </c>
      <c r="X74" s="164">
        <f>W74/$W$80</f>
        <v>0.0632524968832784</v>
      </c>
      <c r="Y74" s="144">
        <f>J74-W74</f>
        <v>0</v>
      </c>
      <c r="AA74" s="487"/>
      <c r="AB74" s="488" t="s">
        <v>1480</v>
      </c>
      <c r="AC74" s="489" t="s">
        <v>1481</v>
      </c>
      <c r="AD74" s="488" t="s">
        <v>1480</v>
      </c>
      <c r="AE74" s="490" t="s">
        <v>1481</v>
      </c>
    </row>
    <row r="75" spans="1:31" ht="17.25" thickBot="1">
      <c r="A75" s="43"/>
      <c r="D75" s="107"/>
      <c r="F75" s="123" t="s">
        <v>19</v>
      </c>
      <c r="G75" s="124">
        <v>350</v>
      </c>
      <c r="H75" s="125">
        <v>0.015</v>
      </c>
      <c r="I75" s="126">
        <v>100000</v>
      </c>
      <c r="J75" s="160">
        <f>I75*G75</f>
        <v>35000000</v>
      </c>
      <c r="K75" s="162">
        <f>J75/$J$80</f>
        <v>0.0632524968832784</v>
      </c>
      <c r="L75" s="248">
        <f>$L$67+H75</f>
        <v>0.02144</v>
      </c>
      <c r="M75" s="128">
        <f>G75*S81</f>
        <v>189686</v>
      </c>
      <c r="N75" s="128">
        <f>M75*$N$70</f>
        <v>36040.340000000004</v>
      </c>
      <c r="O75" s="128">
        <f>M75-N75</f>
        <v>153645.66</v>
      </c>
      <c r="P75" s="128">
        <f>S81</f>
        <v>541.96</v>
      </c>
      <c r="Q75" s="128">
        <f>S83</f>
        <v>102.97</v>
      </c>
      <c r="R75" s="128">
        <f>S85</f>
        <v>438.99</v>
      </c>
      <c r="S75" s="256">
        <f>IF(ROUND(P75-Q75-R75,12)=0,"","error decimales")</f>
      </c>
      <c r="T75" s="143" t="s">
        <v>984</v>
      </c>
      <c r="U75" s="145">
        <f>W75/G75</f>
        <v>100000</v>
      </c>
      <c r="V75" s="258">
        <v>0</v>
      </c>
      <c r="W75" s="144">
        <f>MAX(0,MIN(J75,J75-C107))</f>
        <v>35000000</v>
      </c>
      <c r="X75" s="164">
        <f>W75/$W$80</f>
        <v>0.0632524968832784</v>
      </c>
      <c r="Y75" s="144">
        <f>J75-W75</f>
        <v>0</v>
      </c>
      <c r="AA75" s="491" t="str">
        <f>AA71</f>
        <v>22.03.2010 - 21.06.2010</v>
      </c>
      <c r="AB75" s="492">
        <f>L73</f>
        <v>0.009940000000000001</v>
      </c>
      <c r="AC75" s="493">
        <f>AB75*365/360</f>
        <v>0.010078055555555557</v>
      </c>
      <c r="AD75" s="492">
        <f>L74</f>
        <v>0.014440000000000001</v>
      </c>
      <c r="AE75" s="493">
        <f>AD75*365/360</f>
        <v>0.014640555555555558</v>
      </c>
    </row>
    <row r="76" spans="1:4" ht="15.75" thickBot="1">
      <c r="A76" s="43"/>
      <c r="D76" s="107"/>
    </row>
    <row r="77" spans="1:29" ht="18" thickBot="1" thickTop="1">
      <c r="A77" s="43"/>
      <c r="B77" s="43"/>
      <c r="C77" s="114"/>
      <c r="D77" s="107"/>
      <c r="F77" s="123" t="s">
        <v>938</v>
      </c>
      <c r="H77" s="505">
        <f>SUMPRODUCT(H71:H75,K71:K75)</f>
        <v>0.004131325629203309</v>
      </c>
      <c r="AA77" s="486" t="s">
        <v>1478</v>
      </c>
      <c r="AB77" s="1205" t="s">
        <v>1482</v>
      </c>
      <c r="AC77" s="1206"/>
    </row>
    <row r="78" spans="1:29" ht="17.25" thickBot="1">
      <c r="A78" s="43"/>
      <c r="B78" s="43"/>
      <c r="C78" s="114"/>
      <c r="D78" s="108"/>
      <c r="E78" s="44"/>
      <c r="F78" s="123" t="s">
        <v>937</v>
      </c>
      <c r="H78" s="505">
        <f>+H77+L67</f>
        <v>0.01057132562920331</v>
      </c>
      <c r="AA78" s="487"/>
      <c r="AB78" s="488" t="s">
        <v>1480</v>
      </c>
      <c r="AC78" s="489" t="s">
        <v>1481</v>
      </c>
    </row>
    <row r="79" spans="1:29" ht="17.25" thickBot="1">
      <c r="A79" s="43"/>
      <c r="B79" s="43"/>
      <c r="C79" s="83"/>
      <c r="D79" s="107"/>
      <c r="E79" s="43"/>
      <c r="F79" s="50"/>
      <c r="G79" s="43"/>
      <c r="H79" s="43"/>
      <c r="I79" s="43"/>
      <c r="J79" s="43"/>
      <c r="K79" s="43"/>
      <c r="L79" s="43"/>
      <c r="M79" s="43"/>
      <c r="N79" s="43"/>
      <c r="U79" s="892" t="s">
        <v>667</v>
      </c>
      <c r="V79" s="146">
        <f>F26</f>
        <v>81069645.25000012</v>
      </c>
      <c r="AA79" s="491" t="str">
        <f>AA75</f>
        <v>22.03.2010 - 21.06.2010</v>
      </c>
      <c r="AB79" s="492">
        <f>L75</f>
        <v>0.02144</v>
      </c>
      <c r="AC79" s="493">
        <f>AB79*365/360</f>
        <v>0.02173777777777778</v>
      </c>
    </row>
    <row r="80" spans="1:25" ht="16.5" thickBot="1">
      <c r="A80" s="43"/>
      <c r="B80" s="43"/>
      <c r="C80" s="83"/>
      <c r="D80" s="107"/>
      <c r="E80" s="43"/>
      <c r="F80" s="50"/>
      <c r="G80" s="43"/>
      <c r="H80" s="43"/>
      <c r="I80" s="43"/>
      <c r="J80" s="147">
        <f>+J60+J73+J74+J75</f>
        <v>553337840</v>
      </c>
      <c r="K80" s="159"/>
      <c r="L80" s="43"/>
      <c r="M80" s="43"/>
      <c r="O80" s="356" t="str">
        <f>+F71</f>
        <v>Serie A1</v>
      </c>
      <c r="P80" s="357" t="str">
        <f>+F72</f>
        <v>Serie A2</v>
      </c>
      <c r="Q80" s="357" t="str">
        <f>+F73</f>
        <v>Serie B</v>
      </c>
      <c r="R80" s="357" t="str">
        <f>+F74</f>
        <v>Serie C</v>
      </c>
      <c r="S80" s="358" t="str">
        <f>+F75</f>
        <v>Serie D</v>
      </c>
      <c r="U80" s="892" t="s">
        <v>41</v>
      </c>
      <c r="V80" s="146">
        <f>SUMPRODUCT(V71:V75,G71:G75)</f>
        <v>81069680</v>
      </c>
      <c r="W80" s="146">
        <f>SUM(W71:W79)</f>
        <v>553337840</v>
      </c>
      <c r="Y80" s="146">
        <f>SUM(Y71:Y79)</f>
        <v>81069680</v>
      </c>
    </row>
    <row r="81" spans="1:22" ht="16.5" thickBot="1">
      <c r="A81" s="43"/>
      <c r="B81" s="43"/>
      <c r="C81" s="83"/>
      <c r="D81" s="107"/>
      <c r="E81" s="43"/>
      <c r="F81" s="50"/>
      <c r="G81" s="43"/>
      <c r="H81" s="43"/>
      <c r="I81" s="43"/>
      <c r="J81" s="683">
        <f>(72619.3-14411.7-14400.32-15488.61)*G71+SUM(J72:J75)</f>
        <v>934585422</v>
      </c>
      <c r="K81" s="50">
        <f>+J81-J80</f>
        <v>381247582</v>
      </c>
      <c r="L81" s="43"/>
      <c r="M81" s="43"/>
      <c r="N81" s="83" t="s">
        <v>270</v>
      </c>
      <c r="O81" s="270">
        <f>ROUND(P57,2)</f>
        <v>0</v>
      </c>
      <c r="P81" s="271">
        <f>ROUND(P58,2)</f>
        <v>139.66</v>
      </c>
      <c r="Q81" s="271">
        <f>ROUND(P59,2)</f>
        <v>251.26</v>
      </c>
      <c r="R81" s="271">
        <f>ROUND(P60,2)</f>
        <v>365.01</v>
      </c>
      <c r="S81" s="272">
        <f>ROUND(P61,2)</f>
        <v>541.96</v>
      </c>
      <c r="U81" s="892" t="s">
        <v>810</v>
      </c>
      <c r="V81" s="146">
        <f>+V79-V80</f>
        <v>-34.74999988079071</v>
      </c>
    </row>
    <row r="82" spans="1:23" ht="15">
      <c r="A82" s="43"/>
      <c r="B82" s="43"/>
      <c r="C82" s="83"/>
      <c r="D82" s="107"/>
      <c r="E82" s="43"/>
      <c r="G82" s="43"/>
      <c r="H82" s="43"/>
      <c r="I82" s="43"/>
      <c r="J82" s="43"/>
      <c r="K82" s="43"/>
      <c r="L82" s="43"/>
      <c r="M82" s="43"/>
      <c r="N82" s="83"/>
      <c r="O82" s="273"/>
      <c r="P82" s="196"/>
      <c r="Q82" s="196"/>
      <c r="R82" s="196"/>
      <c r="S82" s="197"/>
      <c r="W82" s="48"/>
    </row>
    <row r="83" spans="1:19" ht="15.75">
      <c r="A83" s="43"/>
      <c r="B83" s="43"/>
      <c r="C83" s="83"/>
      <c r="D83" s="107"/>
      <c r="E83" s="43"/>
      <c r="F83" s="50" t="s">
        <v>991</v>
      </c>
      <c r="G83" s="43"/>
      <c r="H83" s="43"/>
      <c r="I83" s="43"/>
      <c r="J83" s="43"/>
      <c r="K83" s="43"/>
      <c r="L83" s="43"/>
      <c r="M83" s="43"/>
      <c r="N83" s="83" t="s">
        <v>271</v>
      </c>
      <c r="O83" s="274">
        <f>ROUND(0.19*O81,2)</f>
        <v>0</v>
      </c>
      <c r="P83" s="275">
        <f>ROUND(0.19*P81,2)</f>
        <v>26.54</v>
      </c>
      <c r="Q83" s="275">
        <f>ROUND(0.19*Q81,2)</f>
        <v>47.74</v>
      </c>
      <c r="R83" s="275">
        <f>ROUND(0.19*R81,2)</f>
        <v>69.35</v>
      </c>
      <c r="S83" s="276">
        <f>ROUND(0.19*S81,2)</f>
        <v>102.97</v>
      </c>
    </row>
    <row r="84" spans="1:23" ht="15">
      <c r="A84" s="43"/>
      <c r="B84" s="43"/>
      <c r="C84" s="83"/>
      <c r="D84" s="107"/>
      <c r="E84" s="43"/>
      <c r="F84" s="50" t="s">
        <v>987</v>
      </c>
      <c r="G84" s="43"/>
      <c r="H84" s="43"/>
      <c r="I84" s="43"/>
      <c r="J84" s="43"/>
      <c r="K84" s="43"/>
      <c r="L84" s="43"/>
      <c r="M84" s="43"/>
      <c r="N84" s="83"/>
      <c r="O84" s="273"/>
      <c r="P84" s="196"/>
      <c r="Q84" s="196"/>
      <c r="R84" s="196"/>
      <c r="S84" s="197"/>
      <c r="W84" s="48"/>
    </row>
    <row r="85" spans="1:19" ht="15">
      <c r="A85" s="43"/>
      <c r="B85" s="43"/>
      <c r="C85" s="83"/>
      <c r="D85" s="107"/>
      <c r="E85" s="43"/>
      <c r="F85" s="50" t="s">
        <v>988</v>
      </c>
      <c r="G85" s="43"/>
      <c r="H85" s="43"/>
      <c r="I85" s="43"/>
      <c r="J85" s="43"/>
      <c r="K85" s="43"/>
      <c r="L85" s="43"/>
      <c r="M85" s="43"/>
      <c r="N85" s="83" t="s">
        <v>272</v>
      </c>
      <c r="O85" s="277">
        <f>O81-O83</f>
        <v>0</v>
      </c>
      <c r="P85" s="278">
        <f>P81-P83</f>
        <v>113.12</v>
      </c>
      <c r="Q85" s="278">
        <f>Q81-Q83</f>
        <v>203.51999999999998</v>
      </c>
      <c r="R85" s="278">
        <f>R81-R83</f>
        <v>295.65999999999997</v>
      </c>
      <c r="S85" s="279">
        <f>S81-S83</f>
        <v>438.99</v>
      </c>
    </row>
    <row r="86" spans="1:19" ht="15">
      <c r="A86" s="43"/>
      <c r="B86" s="43"/>
      <c r="C86" s="83"/>
      <c r="D86" s="107"/>
      <c r="E86" s="43"/>
      <c r="F86" s="50" t="s">
        <v>989</v>
      </c>
      <c r="G86" s="43"/>
      <c r="H86" s="43"/>
      <c r="I86" s="43"/>
      <c r="J86" s="43"/>
      <c r="K86" s="43"/>
      <c r="L86" s="43"/>
      <c r="M86" s="43"/>
      <c r="N86" s="83" t="s">
        <v>992</v>
      </c>
      <c r="O86" s="359">
        <f>+L71</f>
        <v>0.00734</v>
      </c>
      <c r="P86" s="360">
        <f>+L72</f>
        <v>0.00894</v>
      </c>
      <c r="Q86" s="360">
        <f>+L73</f>
        <v>0.009940000000000001</v>
      </c>
      <c r="R86" s="360">
        <f>+L74</f>
        <v>0.014440000000000001</v>
      </c>
      <c r="S86" s="361">
        <f>+L75</f>
        <v>0.02144</v>
      </c>
    </row>
    <row r="87" spans="1:19" ht="15">
      <c r="A87" s="43"/>
      <c r="B87" s="43"/>
      <c r="C87" s="83"/>
      <c r="D87" s="107"/>
      <c r="E87" s="43"/>
      <c r="F87" s="50" t="s">
        <v>990</v>
      </c>
      <c r="G87" s="43"/>
      <c r="H87" s="43"/>
      <c r="I87" s="43"/>
      <c r="J87" s="43"/>
      <c r="K87" s="43"/>
      <c r="L87" s="43"/>
      <c r="M87" s="43"/>
      <c r="N87" s="83" t="s">
        <v>965</v>
      </c>
      <c r="O87" s="362">
        <f>+H71</f>
        <v>0.0009</v>
      </c>
      <c r="P87" s="363">
        <f>+H72</f>
        <v>0.0025</v>
      </c>
      <c r="Q87" s="363">
        <f>+H73</f>
        <v>0.0035</v>
      </c>
      <c r="R87" s="363">
        <f>+H74</f>
        <v>0.008</v>
      </c>
      <c r="S87" s="364">
        <f>+H75</f>
        <v>0.015</v>
      </c>
    </row>
    <row r="88" spans="1:15" ht="15.75" thickBot="1">
      <c r="A88" s="43"/>
      <c r="B88" s="43"/>
      <c r="C88" s="83"/>
      <c r="D88" s="107"/>
      <c r="E88" s="43"/>
      <c r="G88" s="43"/>
      <c r="H88" s="43"/>
      <c r="I88" s="43"/>
      <c r="J88" s="43"/>
      <c r="K88" s="43"/>
      <c r="L88" s="43"/>
      <c r="M88" s="43"/>
      <c r="N88" s="83" t="s">
        <v>269</v>
      </c>
      <c r="O88" s="365">
        <f>+L67</f>
        <v>0.00644</v>
      </c>
    </row>
    <row r="89" spans="1:16" ht="16.5" thickBot="1">
      <c r="A89" s="43"/>
      <c r="B89" s="43"/>
      <c r="C89" s="83"/>
      <c r="D89" s="107"/>
      <c r="E89" s="43"/>
      <c r="F89" s="165" t="s">
        <v>44</v>
      </c>
      <c r="G89" s="166"/>
      <c r="H89" s="166"/>
      <c r="I89" s="166"/>
      <c r="J89" s="166"/>
      <c r="K89" s="166"/>
      <c r="L89" s="167">
        <v>0.0025</v>
      </c>
      <c r="M89" s="43"/>
      <c r="O89" s="352" t="s">
        <v>267</v>
      </c>
      <c r="P89" s="353">
        <f>+I61</f>
        <v>40259</v>
      </c>
    </row>
    <row r="90" spans="1:16" ht="15">
      <c r="A90" s="43"/>
      <c r="B90" s="43"/>
      <c r="C90" s="83"/>
      <c r="D90" s="107"/>
      <c r="E90" s="43"/>
      <c r="M90" s="43"/>
      <c r="O90" s="354" t="s">
        <v>268</v>
      </c>
      <c r="P90" s="355">
        <f>+I62</f>
        <v>40350</v>
      </c>
    </row>
    <row r="91" spans="1:13" ht="15.75" thickBot="1">
      <c r="A91" s="43"/>
      <c r="B91" s="43"/>
      <c r="C91" s="83"/>
      <c r="D91" s="107"/>
      <c r="E91" s="43"/>
      <c r="M91" s="43"/>
    </row>
    <row r="92" spans="1:14" ht="15.75" thickBot="1">
      <c r="A92" s="43"/>
      <c r="B92" s="43"/>
      <c r="C92" s="83"/>
      <c r="D92" s="107"/>
      <c r="E92" s="43"/>
      <c r="F92" s="185" t="s">
        <v>54</v>
      </c>
      <c r="G92" s="186"/>
      <c r="M92" s="43"/>
      <c r="N92" s="43"/>
    </row>
    <row r="93" spans="4:14" ht="15">
      <c r="D93" s="107"/>
      <c r="E93" s="43"/>
      <c r="F93" s="185" t="s">
        <v>55</v>
      </c>
      <c r="G93" s="187">
        <f>J71+J72</f>
        <v>494407520</v>
      </c>
      <c r="M93" s="43"/>
      <c r="N93" s="43"/>
    </row>
    <row r="94" spans="4:14" ht="15">
      <c r="D94" s="107"/>
      <c r="E94" s="43"/>
      <c r="M94" s="43"/>
      <c r="N94" s="50"/>
    </row>
    <row r="95" spans="1:14" ht="15">
      <c r="A95" s="43"/>
      <c r="B95" s="43"/>
      <c r="C95" s="83"/>
      <c r="D95" s="107"/>
      <c r="E95" s="43"/>
      <c r="F95" s="151" t="s">
        <v>978</v>
      </c>
      <c r="G95" s="152"/>
      <c r="H95" s="152"/>
      <c r="I95" s="152"/>
      <c r="J95" s="152"/>
      <c r="K95" s="152"/>
      <c r="L95" s="153"/>
      <c r="M95" s="43"/>
      <c r="N95" s="43"/>
    </row>
    <row r="96" spans="1:14" ht="15">
      <c r="A96" s="43"/>
      <c r="B96" s="43"/>
      <c r="C96" s="83"/>
      <c r="D96" s="107"/>
      <c r="E96" s="43"/>
      <c r="F96" s="154" t="s">
        <v>48</v>
      </c>
      <c r="G96" s="155"/>
      <c r="H96" s="155"/>
      <c r="I96" s="155"/>
      <c r="J96" s="155"/>
      <c r="K96" s="155"/>
      <c r="L96" s="184">
        <v>1</v>
      </c>
      <c r="M96" s="43"/>
      <c r="N96" s="43"/>
    </row>
    <row r="97" spans="1:14" ht="15">
      <c r="A97" s="43"/>
      <c r="B97" s="43"/>
      <c r="C97" s="83"/>
      <c r="D97" s="107"/>
      <c r="E97" s="43"/>
      <c r="F97" s="185" t="s">
        <v>56</v>
      </c>
      <c r="M97" s="43"/>
      <c r="N97" s="43"/>
    </row>
    <row r="98" spans="1:14" ht="15">
      <c r="A98" s="43"/>
      <c r="B98" s="43"/>
      <c r="C98" s="83"/>
      <c r="D98" s="107"/>
      <c r="E98" s="43"/>
      <c r="F98" s="185" t="s">
        <v>45</v>
      </c>
      <c r="G98" s="43"/>
      <c r="H98" s="43"/>
      <c r="I98" s="43"/>
      <c r="J98" s="43"/>
      <c r="K98" s="43"/>
      <c r="L98" s="43"/>
      <c r="M98" s="43"/>
      <c r="N98" s="43"/>
    </row>
    <row r="99" spans="1:14" ht="15">
      <c r="A99" s="43"/>
      <c r="B99" s="43"/>
      <c r="C99" s="83"/>
      <c r="D99" s="107"/>
      <c r="E99" s="43"/>
      <c r="F99" s="185" t="s">
        <v>46</v>
      </c>
      <c r="M99" s="43"/>
      <c r="N99" s="43"/>
    </row>
    <row r="100" spans="1:14" ht="15">
      <c r="A100" s="43"/>
      <c r="B100" s="43"/>
      <c r="C100" s="83"/>
      <c r="D100" s="107"/>
      <c r="E100" s="43"/>
      <c r="F100" s="185" t="s">
        <v>47</v>
      </c>
      <c r="M100" s="43"/>
      <c r="N100" s="43"/>
    </row>
    <row r="101" spans="1:14" ht="15">
      <c r="A101" s="43"/>
      <c r="B101" s="43"/>
      <c r="C101" s="83"/>
      <c r="D101" s="107"/>
      <c r="E101" s="43"/>
      <c r="M101" s="43"/>
      <c r="N101" s="43"/>
    </row>
    <row r="102" spans="1:14" ht="15">
      <c r="A102" s="43"/>
      <c r="B102" s="43"/>
      <c r="C102" s="83"/>
      <c r="D102" s="107"/>
      <c r="E102" s="43"/>
      <c r="F102" s="142" t="s">
        <v>1507</v>
      </c>
      <c r="G102" s="43"/>
      <c r="H102" s="43"/>
      <c r="I102" s="43"/>
      <c r="J102" s="43"/>
      <c r="K102" s="43"/>
      <c r="L102" s="43"/>
      <c r="M102" s="43"/>
      <c r="N102" s="43"/>
    </row>
    <row r="103" spans="1:14" ht="15.75">
      <c r="A103" s="682">
        <f>+A74-C103</f>
        <v>-46843055.38229589</v>
      </c>
      <c r="B103" s="43" t="s">
        <v>1005</v>
      </c>
      <c r="C103" s="149">
        <f>SUMPRODUCT(G71:G75,V71:V75)</f>
        <v>81069680</v>
      </c>
      <c r="D103" s="108"/>
      <c r="E103" s="43"/>
      <c r="F103" s="157" t="s">
        <v>979</v>
      </c>
      <c r="G103" s="152"/>
      <c r="H103" s="152"/>
      <c r="I103" s="152"/>
      <c r="J103" s="152"/>
      <c r="K103" s="152"/>
      <c r="L103" s="153"/>
      <c r="M103" s="43"/>
      <c r="N103" s="43"/>
    </row>
    <row r="104" spans="1:14" ht="15">
      <c r="A104" s="43"/>
      <c r="B104" s="43" t="s">
        <v>43</v>
      </c>
      <c r="C104" s="83"/>
      <c r="D104" s="107"/>
      <c r="E104" s="43"/>
      <c r="F104" s="154" t="s">
        <v>49</v>
      </c>
      <c r="G104" s="155"/>
      <c r="H104" s="155"/>
      <c r="I104" s="155"/>
      <c r="J104" s="155"/>
      <c r="K104" s="155"/>
      <c r="L104" s="156">
        <v>0.07</v>
      </c>
      <c r="M104" s="43"/>
      <c r="N104" s="43"/>
    </row>
    <row r="105" spans="1:14" ht="15">
      <c r="A105" s="43"/>
      <c r="B105" s="43"/>
      <c r="C105" s="83"/>
      <c r="D105" s="724"/>
      <c r="E105" s="43"/>
      <c r="F105" s="50"/>
      <c r="G105" s="43"/>
      <c r="H105" s="43"/>
      <c r="I105" s="43"/>
      <c r="J105" s="43"/>
      <c r="K105" s="43"/>
      <c r="L105" s="43"/>
      <c r="M105" s="43"/>
      <c r="N105" s="43"/>
    </row>
    <row r="106" spans="1:14" ht="15">
      <c r="A106" s="43"/>
      <c r="B106" s="43"/>
      <c r="C106" s="83"/>
      <c r="D106" s="107"/>
      <c r="E106" s="43"/>
      <c r="F106" s="157" t="s">
        <v>980</v>
      </c>
      <c r="G106" s="152"/>
      <c r="H106" s="152"/>
      <c r="I106" s="152"/>
      <c r="J106" s="152"/>
      <c r="K106" s="152"/>
      <c r="L106" s="153"/>
      <c r="M106" s="43"/>
      <c r="N106" s="43"/>
    </row>
    <row r="107" spans="1:14" ht="15">
      <c r="A107" s="43"/>
      <c r="B107" s="43"/>
      <c r="C107" s="83"/>
      <c r="D107" s="107"/>
      <c r="E107" s="43"/>
      <c r="F107" s="154" t="s">
        <v>981</v>
      </c>
      <c r="G107" s="155"/>
      <c r="H107" s="155"/>
      <c r="I107" s="155"/>
      <c r="J107" s="155"/>
      <c r="K107" s="155"/>
      <c r="L107" s="156">
        <v>0.0125</v>
      </c>
      <c r="M107" s="43"/>
      <c r="N107" s="43"/>
    </row>
    <row r="108" spans="1:14" ht="15">
      <c r="A108" s="43"/>
      <c r="B108" s="43"/>
      <c r="C108" s="83"/>
      <c r="D108" s="107"/>
      <c r="E108" s="43"/>
      <c r="F108" s="50"/>
      <c r="G108" s="43"/>
      <c r="H108" s="43"/>
      <c r="I108" s="43"/>
      <c r="J108" s="43"/>
      <c r="K108" s="43"/>
      <c r="L108" s="43"/>
      <c r="M108" s="43"/>
      <c r="N108" s="43"/>
    </row>
    <row r="109" spans="1:14" ht="15">
      <c r="A109" s="43"/>
      <c r="B109" s="43"/>
      <c r="C109" s="83"/>
      <c r="D109" s="107"/>
      <c r="E109" s="43"/>
      <c r="F109" s="142" t="s">
        <v>1495</v>
      </c>
      <c r="G109" s="43"/>
      <c r="H109" s="43"/>
      <c r="I109" s="43"/>
      <c r="J109" s="43"/>
      <c r="K109" s="43"/>
      <c r="L109" s="43"/>
      <c r="M109" s="43"/>
      <c r="N109" s="43"/>
    </row>
    <row r="110" spans="1:14" ht="15">
      <c r="A110" s="43"/>
      <c r="B110" s="43"/>
      <c r="C110" s="83"/>
      <c r="D110" s="107"/>
      <c r="E110" s="43"/>
      <c r="F110" s="157" t="s">
        <v>50</v>
      </c>
      <c r="G110" s="152"/>
      <c r="H110" s="152"/>
      <c r="I110" s="152"/>
      <c r="J110" s="152"/>
      <c r="K110" s="152"/>
      <c r="L110" s="153"/>
      <c r="M110" s="43"/>
      <c r="N110" s="43"/>
    </row>
    <row r="111" spans="1:14" ht="15">
      <c r="A111" s="43"/>
      <c r="B111" s="43"/>
      <c r="C111" s="83"/>
      <c r="D111" s="107"/>
      <c r="E111" s="43"/>
      <c r="F111" s="154" t="s">
        <v>52</v>
      </c>
      <c r="G111" s="155"/>
      <c r="H111" s="155"/>
      <c r="I111" s="155"/>
      <c r="J111" s="155"/>
      <c r="K111" s="155"/>
      <c r="L111" s="156">
        <v>0.035</v>
      </c>
      <c r="M111" s="43"/>
      <c r="N111" s="43"/>
    </row>
    <row r="112" spans="1:14" ht="15">
      <c r="A112" s="43"/>
      <c r="B112" s="43"/>
      <c r="C112" s="83"/>
      <c r="D112" s="107"/>
      <c r="E112" s="43"/>
      <c r="F112" s="50"/>
      <c r="G112" s="43"/>
      <c r="H112" s="43"/>
      <c r="I112" s="43"/>
      <c r="J112" s="43"/>
      <c r="K112" s="43"/>
      <c r="L112" s="150"/>
      <c r="M112" s="43"/>
      <c r="N112" s="43"/>
    </row>
    <row r="113" spans="1:14" ht="15">
      <c r="A113" s="43"/>
      <c r="B113" s="43"/>
      <c r="C113" s="83"/>
      <c r="D113" s="107"/>
      <c r="E113" s="43"/>
      <c r="F113" s="157" t="s">
        <v>980</v>
      </c>
      <c r="G113" s="152"/>
      <c r="H113" s="152"/>
      <c r="I113" s="152"/>
      <c r="J113" s="152"/>
      <c r="K113" s="152"/>
      <c r="L113" s="158"/>
      <c r="M113" s="43"/>
      <c r="N113" s="43"/>
    </row>
    <row r="114" spans="1:14" ht="15">
      <c r="A114" s="43"/>
      <c r="B114" s="43"/>
      <c r="C114" s="83"/>
      <c r="D114" s="107"/>
      <c r="E114" s="43"/>
      <c r="F114" s="154" t="s">
        <v>982</v>
      </c>
      <c r="G114" s="155"/>
      <c r="H114" s="155"/>
      <c r="I114" s="155"/>
      <c r="J114" s="155"/>
      <c r="K114" s="155"/>
      <c r="L114" s="156">
        <v>0.01</v>
      </c>
      <c r="M114" s="43"/>
      <c r="N114" s="43"/>
    </row>
    <row r="115" spans="1:14" ht="15">
      <c r="A115" s="43"/>
      <c r="B115" s="43"/>
      <c r="C115" s="83"/>
      <c r="D115" s="107"/>
      <c r="E115" s="43"/>
      <c r="F115" s="50"/>
      <c r="G115" s="43"/>
      <c r="H115" s="43"/>
      <c r="I115" s="43"/>
      <c r="J115" s="43"/>
      <c r="K115" s="43"/>
      <c r="L115" s="150"/>
      <c r="M115" s="43"/>
      <c r="N115" s="43"/>
    </row>
    <row r="116" spans="1:14" ht="15">
      <c r="A116" s="43"/>
      <c r="B116" s="43"/>
      <c r="C116" s="83"/>
      <c r="D116" s="107"/>
      <c r="E116" s="43"/>
      <c r="F116" s="142" t="s">
        <v>19</v>
      </c>
      <c r="G116" s="43"/>
      <c r="H116" s="43"/>
      <c r="I116" s="43"/>
      <c r="J116" s="43"/>
      <c r="K116" s="43"/>
      <c r="L116" s="150"/>
      <c r="M116" s="43"/>
      <c r="N116" s="43"/>
    </row>
    <row r="117" spans="1:14" ht="15">
      <c r="A117" s="43"/>
      <c r="B117" s="43"/>
      <c r="C117" s="83"/>
      <c r="D117" s="107"/>
      <c r="E117" s="43"/>
      <c r="F117" s="157" t="s">
        <v>53</v>
      </c>
      <c r="G117" s="152"/>
      <c r="H117" s="152"/>
      <c r="I117" s="152"/>
      <c r="J117" s="152"/>
      <c r="K117" s="152"/>
      <c r="L117" s="158">
        <v>0.035</v>
      </c>
      <c r="M117" s="43"/>
      <c r="N117" s="43"/>
    </row>
    <row r="118" spans="1:14" ht="15.75">
      <c r="A118" s="43"/>
      <c r="D118" s="106"/>
      <c r="F118" s="154" t="s">
        <v>52</v>
      </c>
      <c r="G118" s="155"/>
      <c r="H118" s="155"/>
      <c r="I118" s="155"/>
      <c r="J118" s="155"/>
      <c r="K118" s="155"/>
      <c r="L118" s="156"/>
      <c r="M118" s="43"/>
      <c r="N118" s="43"/>
    </row>
    <row r="119" spans="1:14" ht="15">
      <c r="A119" s="43"/>
      <c r="D119" s="104"/>
      <c r="F119" s="50"/>
      <c r="G119" s="43"/>
      <c r="H119" s="43"/>
      <c r="I119" s="43"/>
      <c r="J119" s="43"/>
      <c r="K119" s="43"/>
      <c r="L119" s="150"/>
      <c r="M119" s="43"/>
      <c r="N119" s="43"/>
    </row>
    <row r="120" spans="1:19" ht="15.75">
      <c r="A120" s="43"/>
      <c r="B120" s="43"/>
      <c r="C120" s="74"/>
      <c r="D120" s="106"/>
      <c r="F120" s="157" t="s">
        <v>980</v>
      </c>
      <c r="G120" s="152"/>
      <c r="H120" s="152"/>
      <c r="I120" s="152"/>
      <c r="J120" s="152"/>
      <c r="K120" s="152"/>
      <c r="L120" s="158"/>
      <c r="M120" s="43"/>
      <c r="N120" s="43"/>
      <c r="O120" s="43"/>
      <c r="P120" s="43"/>
      <c r="Q120" s="43"/>
      <c r="R120" s="43"/>
      <c r="S120" s="43"/>
    </row>
    <row r="121" spans="1:19" ht="15.75">
      <c r="A121" s="43"/>
      <c r="C121" s="74"/>
      <c r="D121" s="106"/>
      <c r="F121" s="154" t="s">
        <v>983</v>
      </c>
      <c r="G121" s="155"/>
      <c r="H121" s="155"/>
      <c r="I121" s="155"/>
      <c r="J121" s="155"/>
      <c r="K121" s="155"/>
      <c r="L121" s="156">
        <v>0.0075</v>
      </c>
      <c r="M121" s="43"/>
      <c r="N121" s="43"/>
      <c r="O121" s="43"/>
      <c r="P121" s="43"/>
      <c r="Q121" s="43"/>
      <c r="R121" s="43"/>
      <c r="S121" s="43"/>
    </row>
    <row r="122" spans="1:19" s="49" customFormat="1" ht="15.75">
      <c r="A122" s="84"/>
      <c r="C122" s="74"/>
      <c r="D122" s="106"/>
      <c r="E122"/>
      <c r="M122" s="84"/>
      <c r="N122" s="84"/>
      <c r="O122" s="84"/>
      <c r="P122" s="84"/>
      <c r="Q122" s="84"/>
      <c r="R122" s="84"/>
      <c r="S122" s="84"/>
    </row>
    <row r="123" spans="1:19" ht="15.75">
      <c r="A123" s="43"/>
      <c r="C123" s="74"/>
      <c r="D123" s="106"/>
      <c r="E123" s="103"/>
      <c r="M123" s="43"/>
      <c r="N123" s="50"/>
      <c r="O123" s="43"/>
      <c r="P123" s="43"/>
      <c r="Q123" s="43"/>
      <c r="R123" s="43"/>
      <c r="S123" s="43"/>
    </row>
    <row r="124" spans="1:19" ht="15.75">
      <c r="A124" s="43"/>
      <c r="C124" s="74"/>
      <c r="D124" s="106"/>
      <c r="F124" s="185" t="s">
        <v>56</v>
      </c>
      <c r="M124" s="43"/>
      <c r="N124" s="50"/>
      <c r="O124" s="43"/>
      <c r="P124" s="43"/>
      <c r="Q124" s="43"/>
      <c r="R124" s="43"/>
      <c r="S124" s="43"/>
    </row>
    <row r="125" spans="1:19" ht="15.75">
      <c r="A125" s="43"/>
      <c r="C125" s="74"/>
      <c r="D125" s="106"/>
      <c r="F125" s="199" t="s">
        <v>62</v>
      </c>
      <c r="G125" s="196"/>
      <c r="H125" s="196"/>
      <c r="I125" s="196"/>
      <c r="J125" s="196"/>
      <c r="K125" s="196"/>
      <c r="L125" s="196"/>
      <c r="M125" s="200"/>
      <c r="O125" s="43"/>
      <c r="P125" s="43"/>
      <c r="Q125" s="43"/>
      <c r="R125" s="43"/>
      <c r="S125" s="43"/>
    </row>
    <row r="126" spans="1:19" ht="15.75">
      <c r="A126" s="43"/>
      <c r="C126" s="74"/>
      <c r="D126" s="106"/>
      <c r="M126" s="43"/>
      <c r="N126" s="50"/>
      <c r="O126" s="43"/>
      <c r="P126" s="43"/>
      <c r="Q126" s="43"/>
      <c r="R126" s="43"/>
      <c r="S126" s="43"/>
    </row>
    <row r="127" spans="1:19" ht="15.75">
      <c r="A127" s="43"/>
      <c r="B127" s="43" t="s">
        <v>57</v>
      </c>
      <c r="C127" s="74"/>
      <c r="D127" s="106"/>
      <c r="F127" s="191" t="s">
        <v>63</v>
      </c>
      <c r="G127" s="172"/>
      <c r="H127" s="172"/>
      <c r="I127" s="172"/>
      <c r="J127" s="172"/>
      <c r="K127" s="172"/>
      <c r="L127" s="172"/>
      <c r="M127" s="152"/>
      <c r="N127" s="192">
        <f>75%*J73</f>
        <v>52500000</v>
      </c>
      <c r="O127" s="43"/>
      <c r="P127" s="43"/>
      <c r="Q127" s="43"/>
      <c r="R127" s="43"/>
      <c r="S127" s="43"/>
    </row>
    <row r="128" spans="1:19" ht="15.75">
      <c r="A128" s="43"/>
      <c r="B128" s="43" t="s">
        <v>16</v>
      </c>
      <c r="C128" s="114">
        <v>0</v>
      </c>
      <c r="D128" s="108" t="s">
        <v>14</v>
      </c>
      <c r="F128" s="193" t="s">
        <v>64</v>
      </c>
      <c r="G128" s="174"/>
      <c r="H128" s="174"/>
      <c r="I128" s="174"/>
      <c r="J128" s="174"/>
      <c r="K128" s="174"/>
      <c r="L128" s="174"/>
      <c r="M128" s="155"/>
      <c r="N128" s="184">
        <f>+J74+J75</f>
        <v>70000000</v>
      </c>
      <c r="O128" s="194">
        <f>N127+N128</f>
        <v>122500000</v>
      </c>
      <c r="P128" s="250"/>
      <c r="Q128" s="250"/>
      <c r="R128" s="250"/>
      <c r="S128" s="250"/>
    </row>
    <row r="129" spans="1:19" ht="15">
      <c r="A129" s="43"/>
      <c r="C129" s="114"/>
      <c r="D129" s="107"/>
      <c r="F129" s="185"/>
      <c r="M129" s="43"/>
      <c r="N129" s="50"/>
      <c r="O129" s="43"/>
      <c r="P129" s="43"/>
      <c r="Q129" s="43"/>
      <c r="R129" s="43"/>
      <c r="S129" s="43"/>
    </row>
    <row r="130" spans="1:19" ht="15">
      <c r="A130" s="43"/>
      <c r="B130" s="43" t="s">
        <v>38</v>
      </c>
      <c r="C130" s="114"/>
      <c r="D130" s="107"/>
      <c r="F130" s="191" t="s">
        <v>65</v>
      </c>
      <c r="G130" s="172"/>
      <c r="H130" s="172"/>
      <c r="I130" s="172"/>
      <c r="J130" s="172"/>
      <c r="K130" s="172"/>
      <c r="L130" s="172"/>
      <c r="M130" s="152"/>
      <c r="N130" s="192">
        <f>75%*J74</f>
        <v>26250000</v>
      </c>
      <c r="O130" s="43"/>
      <c r="P130" s="43"/>
      <c r="Q130" s="43"/>
      <c r="R130" s="43"/>
      <c r="S130" s="43"/>
    </row>
    <row r="131" spans="1:19" ht="15.75">
      <c r="A131" s="43"/>
      <c r="B131" s="43" t="s">
        <v>37</v>
      </c>
      <c r="C131" s="114">
        <v>0</v>
      </c>
      <c r="D131" s="108" t="s">
        <v>14</v>
      </c>
      <c r="F131" s="193" t="s">
        <v>66</v>
      </c>
      <c r="G131" s="174"/>
      <c r="H131" s="174"/>
      <c r="I131" s="174"/>
      <c r="J131" s="174"/>
      <c r="K131" s="174"/>
      <c r="L131" s="174"/>
      <c r="M131" s="155"/>
      <c r="N131" s="184">
        <f>+J75</f>
        <v>35000000</v>
      </c>
      <c r="O131" s="194">
        <f>N130+N131</f>
        <v>61250000</v>
      </c>
      <c r="P131" s="250"/>
      <c r="Q131" s="250"/>
      <c r="R131" s="250"/>
      <c r="S131" s="250"/>
    </row>
    <row r="132" spans="1:19" ht="15">
      <c r="A132" s="43"/>
      <c r="B132" s="43"/>
      <c r="C132" s="74"/>
      <c r="D132" s="107"/>
      <c r="F132" s="185"/>
      <c r="M132" s="43"/>
      <c r="N132" s="50"/>
      <c r="O132" s="43"/>
      <c r="P132" s="43"/>
      <c r="Q132" s="43"/>
      <c r="R132" s="43"/>
      <c r="S132" s="43"/>
    </row>
    <row r="133" spans="1:19" ht="15.75">
      <c r="A133" s="43"/>
      <c r="B133" s="43" t="s">
        <v>58</v>
      </c>
      <c r="C133" s="114">
        <v>0</v>
      </c>
      <c r="D133" s="108" t="s">
        <v>14</v>
      </c>
      <c r="F133" s="188" t="s">
        <v>67</v>
      </c>
      <c r="G133" s="169"/>
      <c r="H133" s="169"/>
      <c r="I133" s="169"/>
      <c r="J133" s="169"/>
      <c r="K133" s="169"/>
      <c r="L133" s="169"/>
      <c r="M133" s="189"/>
      <c r="N133" s="190">
        <f>75%*J75</f>
        <v>26250000</v>
      </c>
      <c r="O133" s="194">
        <f>+N133</f>
        <v>26250000</v>
      </c>
      <c r="P133" s="250"/>
      <c r="Q133" s="250"/>
      <c r="R133" s="250"/>
      <c r="S133" s="250"/>
    </row>
    <row r="134" spans="1:19" ht="15">
      <c r="A134" s="43"/>
      <c r="B134" s="43" t="s">
        <v>39</v>
      </c>
      <c r="C134" s="83"/>
      <c r="D134" s="107"/>
      <c r="F134" s="185"/>
      <c r="M134" s="43"/>
      <c r="N134" s="50"/>
      <c r="O134" s="43"/>
      <c r="P134" s="43"/>
      <c r="Q134" s="43"/>
      <c r="R134" s="43"/>
      <c r="S134" s="43"/>
    </row>
    <row r="135" spans="1:19" ht="15">
      <c r="A135" s="43"/>
      <c r="B135" s="43"/>
      <c r="C135" s="83"/>
      <c r="D135" s="107"/>
      <c r="F135" s="185" t="s">
        <v>76</v>
      </c>
      <c r="M135" s="43"/>
      <c r="N135" s="43"/>
      <c r="O135" s="43"/>
      <c r="P135" s="43"/>
      <c r="Q135" s="43"/>
      <c r="R135" s="43"/>
      <c r="S135" s="43"/>
    </row>
    <row r="136" spans="1:19" ht="15">
      <c r="A136" s="43"/>
      <c r="B136" s="43"/>
      <c r="C136" s="83"/>
      <c r="D136" s="107"/>
      <c r="M136" s="43"/>
      <c r="N136" s="43"/>
      <c r="O136" s="43"/>
      <c r="P136" s="43"/>
      <c r="Q136" s="43"/>
      <c r="R136" s="43"/>
      <c r="S136" s="43"/>
    </row>
    <row r="137" spans="1:19" ht="15">
      <c r="A137" s="43"/>
      <c r="C137" s="83"/>
      <c r="D137" s="107"/>
      <c r="F137" s="191" t="s">
        <v>69</v>
      </c>
      <c r="G137" s="172"/>
      <c r="H137" s="172"/>
      <c r="I137" s="172"/>
      <c r="J137" s="172"/>
      <c r="K137" s="169"/>
      <c r="L137" s="169"/>
      <c r="M137" s="189"/>
      <c r="N137" s="190" t="e">
        <f>MAX(0,N83-C103)</f>
        <v>#VALUE!</v>
      </c>
      <c r="O137" s="43"/>
      <c r="P137" s="43"/>
      <c r="Q137" s="43"/>
      <c r="R137" s="43"/>
      <c r="S137" s="43"/>
    </row>
    <row r="138" spans="1:19" ht="15">
      <c r="A138" s="43"/>
      <c r="D138" s="107"/>
      <c r="F138" s="195" t="s">
        <v>70</v>
      </c>
      <c r="G138" s="196"/>
      <c r="H138" s="196"/>
      <c r="I138" s="196"/>
      <c r="J138" s="197"/>
      <c r="M138" s="43"/>
      <c r="N138" s="43"/>
      <c r="O138" s="43"/>
      <c r="P138" s="43"/>
      <c r="Q138" s="43"/>
      <c r="R138" s="43"/>
      <c r="S138" s="43"/>
    </row>
    <row r="139" spans="1:19" ht="15">
      <c r="A139" s="43"/>
      <c r="B139" s="43"/>
      <c r="C139" s="114"/>
      <c r="D139" s="107"/>
      <c r="F139" s="193" t="s">
        <v>71</v>
      </c>
      <c r="G139" s="174"/>
      <c r="H139" s="174"/>
      <c r="I139" s="174"/>
      <c r="J139" s="198"/>
      <c r="M139" s="43"/>
      <c r="N139" s="43"/>
      <c r="O139" s="43"/>
      <c r="P139" s="43"/>
      <c r="Q139" s="43"/>
      <c r="R139" s="43"/>
      <c r="S139" s="43"/>
    </row>
    <row r="140" spans="1:19" ht="15">
      <c r="A140" s="43"/>
      <c r="B140" s="43"/>
      <c r="C140" s="114"/>
      <c r="D140" s="107"/>
      <c r="O140" s="43"/>
      <c r="P140" s="43"/>
      <c r="Q140" s="43"/>
      <c r="R140" s="43"/>
      <c r="S140" s="43"/>
    </row>
    <row r="141" spans="1:19" ht="15">
      <c r="A141" s="43"/>
      <c r="B141" s="43"/>
      <c r="C141" s="114"/>
      <c r="D141" s="107"/>
      <c r="O141" s="43"/>
      <c r="P141" s="43"/>
      <c r="Q141" s="43"/>
      <c r="R141" s="43"/>
      <c r="S141" s="43"/>
    </row>
    <row r="142" spans="1:19" ht="15">
      <c r="A142" s="43"/>
      <c r="B142" s="43"/>
      <c r="C142" s="114"/>
      <c r="D142" s="107"/>
      <c r="M142" s="43"/>
      <c r="N142" s="43"/>
      <c r="O142" s="43"/>
      <c r="P142" s="43"/>
      <c r="Q142" s="43"/>
      <c r="R142" s="43"/>
      <c r="S142" s="43"/>
    </row>
    <row r="143" spans="1:19" ht="15">
      <c r="A143" s="43"/>
      <c r="D143" s="107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</row>
    <row r="144" spans="1:19" ht="15">
      <c r="A144" s="43"/>
      <c r="B144" s="43"/>
      <c r="C144" s="114"/>
      <c r="D144" s="107"/>
      <c r="F144" s="41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</row>
    <row r="145" spans="1:19" ht="15">
      <c r="A145" s="43"/>
      <c r="B145" s="43"/>
      <c r="C145" s="114"/>
      <c r="D145" s="107"/>
      <c r="F145" s="140" t="s">
        <v>72</v>
      </c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</row>
    <row r="146" spans="1:19" ht="15.75">
      <c r="A146" s="43"/>
      <c r="B146" s="43"/>
      <c r="C146" s="114"/>
      <c r="D146" s="107"/>
      <c r="F146" s="133">
        <v>38000000</v>
      </c>
      <c r="G146" s="134"/>
      <c r="H146" s="135" t="s">
        <v>959</v>
      </c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</row>
    <row r="147" spans="1:19" ht="15.75">
      <c r="A147" s="43"/>
      <c r="B147" s="43"/>
      <c r="C147" s="114"/>
      <c r="D147" s="107"/>
      <c r="F147" s="136">
        <v>0.038</v>
      </c>
      <c r="G147" s="137" t="s">
        <v>960</v>
      </c>
      <c r="H147" s="135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</row>
    <row r="148" spans="1:19" ht="15.75">
      <c r="A148" s="43"/>
      <c r="B148" s="43"/>
      <c r="C148" s="114"/>
      <c r="D148" s="107"/>
      <c r="F148" s="138">
        <v>20000000</v>
      </c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</row>
    <row r="149" spans="1:19" ht="15">
      <c r="A149" s="43"/>
      <c r="B149" s="43"/>
      <c r="C149" s="114"/>
      <c r="D149" s="107"/>
      <c r="F149" s="1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</row>
    <row r="150" spans="1:19" ht="15.75">
      <c r="A150" s="682">
        <f>ROUND(A103-C150,2)</f>
        <v>-73451228.35</v>
      </c>
      <c r="B150" s="43" t="s">
        <v>1006</v>
      </c>
      <c r="C150" s="149">
        <f>IF(AND(C18&gt;=L156,L155&lt;=L89),MIN(F146,MAX(F148,F147*J80)),F146)-10004264.32-153040.84-1286080-80+51638.13</f>
        <v>26608172.97</v>
      </c>
      <c r="D150" s="107"/>
      <c r="F150" s="43" t="s">
        <v>974</v>
      </c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</row>
    <row r="151" spans="1:19" ht="15">
      <c r="A151" s="43"/>
      <c r="B151" s="43"/>
      <c r="C151" s="114"/>
      <c r="D151" s="107"/>
      <c r="F151" s="1" t="s">
        <v>975</v>
      </c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</row>
    <row r="152" spans="1:19" ht="15">
      <c r="A152" s="43"/>
      <c r="D152" s="107"/>
      <c r="F152" s="139" t="s">
        <v>976</v>
      </c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</row>
    <row r="153" spans="1:19" ht="15">
      <c r="A153" s="43"/>
      <c r="B153" s="43"/>
      <c r="C153" s="114"/>
      <c r="D153" s="107"/>
      <c r="F153" s="139" t="s">
        <v>977</v>
      </c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</row>
    <row r="154" spans="1:19" ht="15">
      <c r="A154" s="43"/>
      <c r="B154" s="43"/>
      <c r="C154" s="114"/>
      <c r="D154" s="107"/>
      <c r="F154" s="171" t="s">
        <v>73</v>
      </c>
      <c r="G154" s="152"/>
      <c r="H154" s="152"/>
      <c r="I154" s="152"/>
      <c r="J154" s="152"/>
      <c r="K154" s="152"/>
      <c r="L154" s="153"/>
      <c r="M154" s="43"/>
      <c r="N154" s="43"/>
      <c r="O154" s="43"/>
      <c r="P154" s="43"/>
      <c r="Q154" s="43"/>
      <c r="R154" s="43"/>
      <c r="S154" s="43"/>
    </row>
    <row r="155" spans="1:19" ht="15">
      <c r="A155" s="43"/>
      <c r="B155" s="43"/>
      <c r="C155" s="114"/>
      <c r="D155" s="107"/>
      <c r="F155" s="173" t="s">
        <v>74</v>
      </c>
      <c r="G155" s="155"/>
      <c r="H155" s="155"/>
      <c r="I155" s="155"/>
      <c r="J155" s="155"/>
      <c r="K155" s="155"/>
      <c r="L155" s="156">
        <v>0.01</v>
      </c>
      <c r="M155" s="43"/>
      <c r="N155" s="43"/>
      <c r="O155" s="43"/>
      <c r="P155" s="43"/>
      <c r="Q155" s="43"/>
      <c r="R155" s="43"/>
      <c r="S155" s="43"/>
    </row>
    <row r="156" spans="1:19" ht="15">
      <c r="A156" s="43"/>
      <c r="B156" s="43"/>
      <c r="C156" s="114"/>
      <c r="D156" s="107"/>
      <c r="F156" s="168" t="s">
        <v>75</v>
      </c>
      <c r="G156" s="189"/>
      <c r="H156" s="189"/>
      <c r="I156" s="189"/>
      <c r="J156" s="189"/>
      <c r="K156" s="189"/>
      <c r="L156" s="170">
        <v>40091</v>
      </c>
      <c r="M156" s="43"/>
      <c r="N156" s="43"/>
      <c r="O156" s="43"/>
      <c r="P156" s="43"/>
      <c r="Q156" s="43"/>
      <c r="R156" s="43"/>
      <c r="S156" s="43"/>
    </row>
    <row r="157" spans="1:19" ht="15">
      <c r="A157" s="43"/>
      <c r="B157" s="43"/>
      <c r="C157" s="114"/>
      <c r="D157" s="107"/>
      <c r="F157" s="41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</row>
    <row r="158" spans="1:19" ht="15">
      <c r="A158" s="43"/>
      <c r="B158" s="43"/>
      <c r="C158" s="114"/>
      <c r="D158" s="107"/>
      <c r="F158" s="41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</row>
    <row r="159" spans="1:19" ht="15">
      <c r="A159" s="43"/>
      <c r="B159" s="43"/>
      <c r="C159" s="114"/>
      <c r="D159" s="107"/>
      <c r="F159" s="41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</row>
    <row r="160" spans="1:19" ht="15">
      <c r="A160" s="43"/>
      <c r="B160" s="43" t="s">
        <v>59</v>
      </c>
      <c r="C160" s="114">
        <v>0</v>
      </c>
      <c r="D160" s="107"/>
      <c r="F160" s="41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</row>
    <row r="161" spans="1:19" ht="15">
      <c r="A161" s="43"/>
      <c r="D161" s="107"/>
      <c r="F161" s="41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</row>
    <row r="162" spans="1:19" ht="15">
      <c r="A162" s="43"/>
      <c r="B162" s="43"/>
      <c r="C162" s="114"/>
      <c r="D162" s="107"/>
      <c r="F162" s="41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</row>
    <row r="163" spans="1:19" ht="15.75">
      <c r="A163" s="43"/>
      <c r="D163" s="107"/>
      <c r="F163" s="203" t="s">
        <v>77</v>
      </c>
      <c r="G163" s="204">
        <f>SUM(G164:G165)</f>
        <v>0.01644</v>
      </c>
      <c r="H163" s="43"/>
      <c r="I163" s="208" t="s">
        <v>80</v>
      </c>
      <c r="J163" s="209">
        <v>360</v>
      </c>
      <c r="K163" s="43"/>
      <c r="L163" s="43"/>
      <c r="M163" s="43"/>
      <c r="N163" s="43"/>
      <c r="O163" s="43"/>
      <c r="P163" s="43"/>
      <c r="Q163" s="43"/>
      <c r="R163" s="43"/>
      <c r="S163" s="43"/>
    </row>
    <row r="164" spans="1:19" ht="15.75" thickBot="1">
      <c r="A164" s="43"/>
      <c r="D164" s="107"/>
      <c r="F164" s="205" t="s">
        <v>78</v>
      </c>
      <c r="G164" s="206">
        <f>L67</f>
        <v>0.00644</v>
      </c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</row>
    <row r="165" spans="1:19" ht="16.5" thickBot="1">
      <c r="A165" s="682">
        <f>+A150-C165</f>
        <v>-73451228.35</v>
      </c>
      <c r="B165" s="43" t="s">
        <v>1011</v>
      </c>
      <c r="C165" s="383">
        <f>(H169+H167*G163*J165/J163)*0</f>
        <v>0</v>
      </c>
      <c r="D165" s="384"/>
      <c r="F165" s="207" t="s">
        <v>79</v>
      </c>
      <c r="G165" s="156">
        <v>0.01</v>
      </c>
      <c r="H165" s="43"/>
      <c r="I165" s="208" t="s">
        <v>81</v>
      </c>
      <c r="J165" s="210">
        <f>I62-I61</f>
        <v>91</v>
      </c>
      <c r="K165" s="43"/>
      <c r="L165" s="43"/>
      <c r="M165" s="43"/>
      <c r="N165" s="43"/>
      <c r="O165" s="43"/>
      <c r="P165" s="43"/>
      <c r="Q165" s="43"/>
      <c r="R165" s="43"/>
      <c r="S165" s="43"/>
    </row>
    <row r="166" spans="1:19" ht="15">
      <c r="A166" s="43"/>
      <c r="B166" s="43" t="s">
        <v>60</v>
      </c>
      <c r="C166" s="114"/>
      <c r="D166" s="110"/>
      <c r="E166" s="41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</row>
    <row r="167" spans="1:19" ht="15.75">
      <c r="A167" s="43"/>
      <c r="C167" s="114"/>
      <c r="D167" s="108"/>
      <c r="E167" s="43"/>
      <c r="F167" s="201" t="s">
        <v>99</v>
      </c>
      <c r="G167" s="152"/>
      <c r="H167" s="1214">
        <v>38000000</v>
      </c>
      <c r="I167" s="1215"/>
      <c r="K167" s="43"/>
      <c r="L167" s="43"/>
      <c r="M167" s="43"/>
      <c r="N167" s="43"/>
      <c r="O167" s="43"/>
      <c r="P167" s="43"/>
      <c r="Q167" s="43"/>
      <c r="R167" s="43"/>
      <c r="S167" s="43"/>
    </row>
    <row r="168" spans="1:19" ht="15.75">
      <c r="A168" s="43"/>
      <c r="B168" s="84"/>
      <c r="C168" s="118"/>
      <c r="D168" s="111"/>
      <c r="E168" s="103"/>
      <c r="F168" s="202" t="s">
        <v>100</v>
      </c>
      <c r="G168" s="155"/>
      <c r="H168" s="1216">
        <v>38000000</v>
      </c>
      <c r="I168" s="1217"/>
      <c r="K168" s="43"/>
      <c r="L168" s="43"/>
      <c r="M168" s="43"/>
      <c r="N168" s="43"/>
      <c r="O168" s="43"/>
      <c r="P168" s="43"/>
      <c r="Q168" s="43"/>
      <c r="R168" s="43"/>
      <c r="S168" s="43"/>
    </row>
    <row r="169" spans="1:19" ht="15.75">
      <c r="A169" s="43"/>
      <c r="B169" s="43"/>
      <c r="C169" s="118"/>
      <c r="D169" s="111"/>
      <c r="E169" s="43"/>
      <c r="F169" s="380" t="s">
        <v>82</v>
      </c>
      <c r="G169" s="380"/>
      <c r="H169" s="1213">
        <f>H167-H168</f>
        <v>0</v>
      </c>
      <c r="I169" s="1213"/>
      <c r="K169" s="43"/>
      <c r="L169" s="43"/>
      <c r="M169" s="43"/>
      <c r="N169" s="43"/>
      <c r="O169" s="43"/>
      <c r="P169" s="43"/>
      <c r="Q169" s="43"/>
      <c r="R169" s="43"/>
      <c r="S169" s="43"/>
    </row>
    <row r="170" spans="1:12" ht="15.75">
      <c r="A170" s="43"/>
      <c r="C170" s="118"/>
      <c r="D170" s="111"/>
      <c r="E170" s="88"/>
      <c r="F170" s="380" t="s">
        <v>1308</v>
      </c>
      <c r="G170" s="381"/>
      <c r="H170" s="1213">
        <f>C165-H169</f>
        <v>0</v>
      </c>
      <c r="I170" s="1213"/>
      <c r="J170" s="43"/>
      <c r="K170" s="43"/>
      <c r="L170" s="43"/>
    </row>
    <row r="171" spans="1:12" ht="15.75" thickBot="1">
      <c r="A171" s="43"/>
      <c r="C171" s="118"/>
      <c r="D171" s="111"/>
      <c r="E171" s="43"/>
      <c r="F171" s="43"/>
      <c r="G171" s="43"/>
      <c r="H171" s="50"/>
      <c r="I171" s="50"/>
      <c r="J171" s="43"/>
      <c r="K171" s="43"/>
      <c r="L171" s="43"/>
    </row>
    <row r="172" spans="1:12" ht="16.5" thickBot="1">
      <c r="A172" s="43"/>
      <c r="B172" s="43"/>
      <c r="C172" s="118"/>
      <c r="D172" s="111"/>
      <c r="E172" s="44"/>
      <c r="F172" s="201" t="s">
        <v>99</v>
      </c>
      <c r="G172" s="152"/>
      <c r="H172" s="510">
        <v>508804.74</v>
      </c>
      <c r="I172" s="50"/>
      <c r="J172" s="417"/>
      <c r="K172" s="43"/>
      <c r="L172" s="43"/>
    </row>
    <row r="173" spans="1:16" ht="16.5" thickBot="1">
      <c r="A173" s="43"/>
      <c r="C173" s="118"/>
      <c r="D173" s="111"/>
      <c r="E173" s="88"/>
      <c r="F173" s="202" t="s">
        <v>100</v>
      </c>
      <c r="G173" s="155"/>
      <c r="H173" s="509">
        <f ca="1">OFFSET('BALANCE-DEVENGO'!$A$7,MATCH(J173,'BALANCE-DEVENGO'!A8:A350,0),4)*0+508804.74</f>
        <v>508804.74</v>
      </c>
      <c r="I173" s="50"/>
      <c r="J173" s="503" t="s">
        <v>142</v>
      </c>
      <c r="K173" s="504" t="s">
        <v>138</v>
      </c>
      <c r="L173" s="504"/>
      <c r="M173" s="723" t="s">
        <v>1061</v>
      </c>
      <c r="N173" s="723" t="s">
        <v>1062</v>
      </c>
      <c r="O173" s="723" t="s">
        <v>997</v>
      </c>
      <c r="P173" s="723" t="s">
        <v>1111</v>
      </c>
    </row>
    <row r="174" spans="1:16" ht="16.5" thickBot="1">
      <c r="A174" s="682">
        <f>+A165-C174</f>
        <v>-73451228.35</v>
      </c>
      <c r="B174" s="43" t="s">
        <v>1010</v>
      </c>
      <c r="C174" s="383">
        <f>(H174+H172*G163*J165/J163)*0</f>
        <v>0</v>
      </c>
      <c r="D174" s="382"/>
      <c r="E174" s="43"/>
      <c r="F174" s="380" t="s">
        <v>83</v>
      </c>
      <c r="G174" s="380"/>
      <c r="H174" s="1213">
        <f>H172-H173</f>
        <v>0</v>
      </c>
      <c r="I174" s="1213"/>
      <c r="K174" s="43"/>
      <c r="L174" s="43"/>
      <c r="M174" s="721">
        <v>800000</v>
      </c>
      <c r="N174" s="721">
        <f>ROUND(M174/$N$183*$N$180,2)</f>
        <v>67153.28</v>
      </c>
      <c r="O174" s="721">
        <f>+M174/$N$183*$N$186</f>
        <v>705109.4890510949</v>
      </c>
      <c r="P174" s="721">
        <f>+M174-O174</f>
        <v>94890.51094890514</v>
      </c>
    </row>
    <row r="175" spans="1:16" ht="15.75">
      <c r="A175" s="43"/>
      <c r="B175" s="43" t="s">
        <v>61</v>
      </c>
      <c r="C175" s="118"/>
      <c r="D175" s="111"/>
      <c r="E175" s="103"/>
      <c r="F175" s="380" t="s">
        <v>1306</v>
      </c>
      <c r="G175" s="381"/>
      <c r="H175" s="1213">
        <f>(H172*G163*J165/J163)*0</f>
        <v>0</v>
      </c>
      <c r="I175" s="1213"/>
      <c r="K175" s="43"/>
      <c r="L175" s="43"/>
      <c r="M175" s="721">
        <v>150000</v>
      </c>
      <c r="N175" s="721">
        <f>ROUND(M175/$N$183*$N$180,2)</f>
        <v>12591.24</v>
      </c>
      <c r="O175" s="721">
        <f>+M175/$N$183*$N$186</f>
        <v>132208.0291970803</v>
      </c>
      <c r="P175" s="721">
        <f>+M175-O175</f>
        <v>17791.970802919706</v>
      </c>
    </row>
    <row r="176" spans="1:16" ht="15.75">
      <c r="A176" s="43"/>
      <c r="B176" s="43"/>
      <c r="C176" s="118"/>
      <c r="D176" s="111"/>
      <c r="E176" s="103"/>
      <c r="F176" s="43"/>
      <c r="G176" s="43"/>
      <c r="H176" s="43"/>
      <c r="I176" s="43"/>
      <c r="J176" s="683"/>
      <c r="K176" s="684"/>
      <c r="L176" s="43"/>
      <c r="M176" s="722">
        <f>SUM(M174:M175)</f>
        <v>950000</v>
      </c>
      <c r="N176" s="722">
        <f>SUM(N174:N175)</f>
        <v>79744.52</v>
      </c>
      <c r="O176" s="722">
        <f>SUM(O174:O175)</f>
        <v>837317.5182481752</v>
      </c>
      <c r="P176" s="722">
        <f>SUM(P174:P175)</f>
        <v>112682.48175182485</v>
      </c>
    </row>
    <row r="177" spans="1:16" ht="15.75">
      <c r="A177" s="43"/>
      <c r="B177" s="43"/>
      <c r="C177" s="118"/>
      <c r="D177" s="111"/>
      <c r="E177" s="103"/>
      <c r="F177" s="43"/>
      <c r="G177" s="43"/>
      <c r="H177" s="43"/>
      <c r="I177" s="43"/>
      <c r="J177" s="683"/>
      <c r="K177" s="43"/>
      <c r="L177" s="43"/>
      <c r="P177" s="48"/>
    </row>
    <row r="178" spans="1:13" ht="16.5" thickBot="1">
      <c r="A178" s="43"/>
      <c r="B178" s="43"/>
      <c r="C178" s="118"/>
      <c r="D178" s="111"/>
      <c r="E178" s="103"/>
      <c r="F178" s="43"/>
      <c r="G178" s="43"/>
      <c r="H178" s="43"/>
      <c r="I178" s="43"/>
      <c r="J178" s="50"/>
      <c r="K178" s="43"/>
      <c r="L178" s="43"/>
      <c r="M178" s="957" t="s">
        <v>1108</v>
      </c>
    </row>
    <row r="179" spans="1:14" ht="15.75">
      <c r="A179" s="43"/>
      <c r="B179" s="43"/>
      <c r="C179" s="118"/>
      <c r="D179" s="111"/>
      <c r="E179" s="103"/>
      <c r="F179" s="43"/>
      <c r="G179" s="43"/>
      <c r="H179" s="43"/>
      <c r="I179" s="43"/>
      <c r="K179" s="43"/>
      <c r="L179" s="43"/>
      <c r="M179" s="959">
        <f>_XLL.FIN.MES(I61,-1)+1</f>
        <v>40238</v>
      </c>
      <c r="N179" s="675"/>
    </row>
    <row r="180" spans="1:14" ht="16.5" thickBot="1">
      <c r="A180" s="43"/>
      <c r="B180" s="43"/>
      <c r="C180" s="118"/>
      <c r="D180" s="111"/>
      <c r="E180" s="103"/>
      <c r="F180" s="43"/>
      <c r="G180" s="43"/>
      <c r="H180" s="43"/>
      <c r="I180" s="563"/>
      <c r="K180" s="43"/>
      <c r="L180" s="43"/>
      <c r="M180" s="960">
        <f>_XLL.FIN.MES(I62,-1)</f>
        <v>40329</v>
      </c>
      <c r="N180" s="675">
        <f>+M180-M179+1</f>
        <v>92</v>
      </c>
    </row>
    <row r="181" spans="1:14" ht="16.5" thickBot="1">
      <c r="A181" s="43"/>
      <c r="B181" s="43"/>
      <c r="C181" s="118"/>
      <c r="D181" s="111"/>
      <c r="E181" s="103"/>
      <c r="F181" s="43"/>
      <c r="G181" s="43"/>
      <c r="H181" s="683"/>
      <c r="I181" s="563"/>
      <c r="K181" s="50"/>
      <c r="L181" s="43"/>
      <c r="M181" s="957" t="s">
        <v>1109</v>
      </c>
      <c r="N181" s="675"/>
    </row>
    <row r="182" spans="1:14" ht="15.75">
      <c r="A182" s="43"/>
      <c r="B182" s="43"/>
      <c r="C182" s="118"/>
      <c r="D182" s="111"/>
      <c r="E182" s="103"/>
      <c r="F182" s="43"/>
      <c r="G182" s="43"/>
      <c r="H182" s="50"/>
      <c r="I182" s="564"/>
      <c r="K182" s="50"/>
      <c r="L182" s="43"/>
      <c r="M182" s="959">
        <v>39364</v>
      </c>
      <c r="N182" s="675"/>
    </row>
    <row r="183" spans="1:14" ht="16.5" thickBot="1">
      <c r="A183" s="43"/>
      <c r="B183" s="43"/>
      <c r="C183" s="118"/>
      <c r="D183" s="111"/>
      <c r="E183" s="103"/>
      <c r="F183" s="43"/>
      <c r="G183" s="43"/>
      <c r="H183" s="43"/>
      <c r="I183" s="43"/>
      <c r="J183" s="43"/>
      <c r="K183" s="43"/>
      <c r="L183" s="43"/>
      <c r="M183" s="960">
        <v>40460</v>
      </c>
      <c r="N183" s="675">
        <f>+M183-M182</f>
        <v>1096</v>
      </c>
    </row>
    <row r="184" spans="1:14" ht="16.5" thickBot="1">
      <c r="A184" s="43"/>
      <c r="B184" s="43"/>
      <c r="C184" s="118"/>
      <c r="D184" s="111"/>
      <c r="E184" s="103"/>
      <c r="F184" s="244">
        <v>0.0001</v>
      </c>
      <c r="G184" s="152" t="s">
        <v>956</v>
      </c>
      <c r="H184" s="153"/>
      <c r="I184" s="43"/>
      <c r="J184" s="43"/>
      <c r="K184" s="43"/>
      <c r="L184" s="43"/>
      <c r="M184" t="s">
        <v>1110</v>
      </c>
      <c r="N184" s="675"/>
    </row>
    <row r="185" spans="1:14" ht="15.75">
      <c r="A185" s="43"/>
      <c r="B185" s="43"/>
      <c r="C185" s="118"/>
      <c r="D185" s="111"/>
      <c r="E185" s="43"/>
      <c r="F185" s="499">
        <f>+Español!J13</f>
        <v>40249</v>
      </c>
      <c r="G185" s="500" t="s">
        <v>1137</v>
      </c>
      <c r="H185" s="245"/>
      <c r="I185" s="43"/>
      <c r="J185" s="43"/>
      <c r="K185" s="43"/>
      <c r="L185" s="43"/>
      <c r="M185" s="959">
        <f>+M182</f>
        <v>39364</v>
      </c>
      <c r="N185" s="675"/>
    </row>
    <row r="186" spans="1:14" ht="16.5" thickBot="1">
      <c r="A186" s="682">
        <f>+A174-C186</f>
        <v>-73451228.35</v>
      </c>
      <c r="B186" s="43" t="s">
        <v>1007</v>
      </c>
      <c r="C186" s="119">
        <f>F184*(F186-F185)/F188*F187*0</f>
        <v>0</v>
      </c>
      <c r="D186" s="108" t="s">
        <v>14</v>
      </c>
      <c r="E186" s="43"/>
      <c r="F186" s="499">
        <f>+Español!G13</f>
        <v>40343</v>
      </c>
      <c r="G186" s="246"/>
      <c r="H186" s="245"/>
      <c r="I186" s="43"/>
      <c r="J186" s="43"/>
      <c r="K186" s="43"/>
      <c r="L186" s="43"/>
      <c r="M186" s="960">
        <f>+M180</f>
        <v>40329</v>
      </c>
      <c r="N186" s="675">
        <f>+M186-M185+1</f>
        <v>966</v>
      </c>
    </row>
    <row r="187" spans="1:12" ht="15.75">
      <c r="A187" s="43"/>
      <c r="B187" s="43"/>
      <c r="C187" s="120"/>
      <c r="D187" s="104"/>
      <c r="E187" s="44"/>
      <c r="F187" s="498">
        <v>616812066.23</v>
      </c>
      <c r="G187" s="200" t="s">
        <v>957</v>
      </c>
      <c r="H187" s="245"/>
      <c r="I187" s="43"/>
      <c r="J187" s="43"/>
      <c r="K187" s="43"/>
      <c r="L187" s="43"/>
    </row>
    <row r="188" spans="1:12" ht="16.5" thickBot="1">
      <c r="A188" s="682">
        <f>+A186-C188</f>
        <v>0.0022959113121032715</v>
      </c>
      <c r="B188" s="43" t="s">
        <v>1008</v>
      </c>
      <c r="C188" s="113">
        <f>+C49-SUM(C51:C187)</f>
        <v>-73451228.3522959</v>
      </c>
      <c r="D188" s="112"/>
      <c r="E188" s="43"/>
      <c r="F188" s="247">
        <v>365</v>
      </c>
      <c r="G188" s="155" t="s">
        <v>958</v>
      </c>
      <c r="H188" s="198"/>
      <c r="I188" s="43"/>
      <c r="J188" s="43"/>
      <c r="K188" s="43"/>
      <c r="L188" s="43"/>
    </row>
    <row r="189" spans="1:12" ht="16.5" thickTop="1">
      <c r="A189" s="43"/>
      <c r="B189" s="43"/>
      <c r="C189" s="86"/>
      <c r="D189" s="44"/>
      <c r="E189" s="44"/>
      <c r="F189" s="43"/>
      <c r="G189" s="43"/>
      <c r="H189" s="43"/>
      <c r="I189" s="43"/>
      <c r="J189" s="43"/>
      <c r="K189" s="43"/>
      <c r="L189" s="43"/>
    </row>
    <row r="190" spans="1:12" ht="15">
      <c r="A190" s="43"/>
      <c r="B190" s="43"/>
      <c r="C190" s="120"/>
      <c r="D190" s="43"/>
      <c r="F190" s="43"/>
      <c r="G190" s="43"/>
      <c r="H190" s="43"/>
      <c r="I190" s="43"/>
      <c r="J190" s="43"/>
      <c r="K190" s="43"/>
      <c r="L190" s="43"/>
    </row>
    <row r="191" spans="1:12" ht="15.75">
      <c r="A191" s="43"/>
      <c r="B191" s="43"/>
      <c r="C191" s="74"/>
      <c r="D191" s="44"/>
      <c r="F191" s="43"/>
      <c r="G191" s="43"/>
      <c r="H191" s="43"/>
      <c r="I191" s="43"/>
      <c r="J191" s="43"/>
      <c r="K191" s="43"/>
      <c r="L191" s="43"/>
    </row>
    <row r="192" spans="1:12" ht="15.75">
      <c r="A192" s="43"/>
      <c r="B192" s="43"/>
      <c r="C192" s="74"/>
      <c r="D192" s="44"/>
      <c r="L192" s="43"/>
    </row>
    <row r="193" spans="1:12" ht="15">
      <c r="A193" s="43"/>
      <c r="B193" s="43"/>
      <c r="C193" s="74"/>
      <c r="D193" s="44"/>
      <c r="L193" s="43"/>
    </row>
    <row r="194" ht="15">
      <c r="D194" s="44"/>
    </row>
    <row r="195" ht="15">
      <c r="D195" s="44"/>
    </row>
    <row r="196" ht="15">
      <c r="D196" s="44"/>
    </row>
    <row r="197" spans="2:7" ht="18.75" customHeight="1" thickBot="1">
      <c r="B197" s="889" t="s">
        <v>446</v>
      </c>
      <c r="C197" s="890" t="s">
        <v>1404</v>
      </c>
      <c r="D197" s="44"/>
      <c r="F197" s="870"/>
      <c r="G197" s="871"/>
    </row>
    <row r="198" spans="4:7" ht="19.5" customHeight="1">
      <c r="D198" s="872" t="s">
        <v>447</v>
      </c>
      <c r="E198" s="513"/>
      <c r="F198" s="873" t="s">
        <v>448</v>
      </c>
      <c r="G198" s="874" t="s">
        <v>449</v>
      </c>
    </row>
    <row r="199" spans="2:7" ht="15.75" thickBot="1">
      <c r="B199" s="205" t="s">
        <v>450</v>
      </c>
      <c r="C199" s="875">
        <f>(H169+H167*G163*J165/J163)</f>
        <v>157915.33333333334</v>
      </c>
      <c r="D199" s="876">
        <f>+H167*G163*J165/J163</f>
        <v>157915.33333333334</v>
      </c>
      <c r="E199" s="877"/>
      <c r="F199" s="878">
        <v>0</v>
      </c>
      <c r="G199" s="879">
        <f>D199-F199</f>
        <v>157915.33333333334</v>
      </c>
    </row>
    <row r="200" spans="2:7" ht="15">
      <c r="B200" s="207" t="s">
        <v>451</v>
      </c>
      <c r="C200" s="880"/>
      <c r="D200" s="44"/>
      <c r="F200" s="870"/>
      <c r="G200" s="871"/>
    </row>
    <row r="201" spans="2:7" ht="15">
      <c r="B201" s="50"/>
      <c r="C201" s="74"/>
      <c r="D201" s="44"/>
      <c r="F201" s="870"/>
      <c r="G201" s="871"/>
    </row>
    <row r="202" spans="2:7" ht="15">
      <c r="B202" s="881" t="s">
        <v>61</v>
      </c>
      <c r="C202" s="817"/>
      <c r="D202" s="44"/>
      <c r="F202" s="870"/>
      <c r="G202" s="871"/>
    </row>
    <row r="203" spans="2:3" ht="15">
      <c r="B203" s="882" t="s">
        <v>452</v>
      </c>
      <c r="C203" s="883">
        <f>N176</f>
        <v>79744.52</v>
      </c>
    </row>
    <row r="204" spans="2:3" ht="13.5" thickBot="1">
      <c r="B204" s="273"/>
      <c r="C204" s="197"/>
    </row>
    <row r="205" spans="2:7" ht="15">
      <c r="B205" s="207" t="s">
        <v>453</v>
      </c>
      <c r="C205" s="884">
        <f>+H172*G163*J165/J163</f>
        <v>2114.42289786</v>
      </c>
      <c r="D205" s="872" t="s">
        <v>447</v>
      </c>
      <c r="E205" s="513"/>
      <c r="F205" s="873" t="s">
        <v>448</v>
      </c>
      <c r="G205" s="874" t="s">
        <v>449</v>
      </c>
    </row>
    <row r="206" spans="3:7" ht="15.75" thickBot="1">
      <c r="C206" s="885"/>
      <c r="D206" s="876">
        <f>(H172*G163*J165/J163)</f>
        <v>2114.42289786</v>
      </c>
      <c r="E206" s="877"/>
      <c r="F206" s="878">
        <v>0</v>
      </c>
      <c r="G206" s="879">
        <f>D206-F206</f>
        <v>2114.42289786</v>
      </c>
    </row>
    <row r="207" spans="3:4" ht="15">
      <c r="C207" s="886"/>
      <c r="D207" s="44"/>
    </row>
    <row r="208" spans="3:4" ht="15">
      <c r="C208" s="74"/>
      <c r="D208" s="44"/>
    </row>
    <row r="209" spans="2:4" ht="15">
      <c r="B209" s="887" t="s">
        <v>1007</v>
      </c>
      <c r="C209" s="888">
        <f>F184*(F186-F185)/F188*F187</f>
        <v>15885.02307551233</v>
      </c>
      <c r="D209" s="44"/>
    </row>
    <row r="213" spans="2:3" ht="17.25" thickBot="1">
      <c r="B213" s="889" t="s">
        <v>446</v>
      </c>
      <c r="C213" s="890" t="s">
        <v>1403</v>
      </c>
    </row>
    <row r="214" spans="4:7" ht="15">
      <c r="D214" s="872" t="s">
        <v>447</v>
      </c>
      <c r="E214" s="513"/>
      <c r="F214" s="873" t="s">
        <v>448</v>
      </c>
      <c r="G214" s="874" t="s">
        <v>449</v>
      </c>
    </row>
    <row r="215" spans="2:7" ht="15.75" thickBot="1">
      <c r="B215" s="205" t="s">
        <v>450</v>
      </c>
      <c r="C215" s="875">
        <v>164447.11111111112</v>
      </c>
      <c r="D215" s="876">
        <v>164447.11111111112</v>
      </c>
      <c r="E215" s="877"/>
      <c r="F215" s="878">
        <v>0</v>
      </c>
      <c r="G215" s="879">
        <v>164447.11111111112</v>
      </c>
    </row>
    <row r="216" spans="2:7" ht="15">
      <c r="B216" s="207" t="s">
        <v>451</v>
      </c>
      <c r="C216" s="880"/>
      <c r="D216" s="44"/>
      <c r="F216" s="870"/>
      <c r="G216" s="871"/>
    </row>
    <row r="217" spans="2:7" ht="15">
      <c r="B217" s="50"/>
      <c r="C217" s="74"/>
      <c r="D217" s="44"/>
      <c r="F217" s="870"/>
      <c r="G217" s="871"/>
    </row>
    <row r="218" spans="2:7" ht="15">
      <c r="B218" s="881" t="s">
        <v>61</v>
      </c>
      <c r="C218" s="817"/>
      <c r="D218" s="44"/>
      <c r="F218" s="870"/>
      <c r="G218" s="871"/>
    </row>
    <row r="219" spans="2:3" ht="15">
      <c r="B219" s="882" t="s">
        <v>452</v>
      </c>
      <c r="C219" s="883">
        <v>78010.95</v>
      </c>
    </row>
    <row r="220" spans="2:3" ht="13.5" thickBot="1">
      <c r="B220" s="273"/>
      <c r="C220" s="197"/>
    </row>
    <row r="221" spans="2:7" ht="15">
      <c r="B221" s="207" t="s">
        <v>453</v>
      </c>
      <c r="C221" s="884">
        <v>2201.88077928</v>
      </c>
      <c r="D221" s="872" t="s">
        <v>447</v>
      </c>
      <c r="E221" s="513"/>
      <c r="F221" s="873" t="s">
        <v>448</v>
      </c>
      <c r="G221" s="874" t="s">
        <v>449</v>
      </c>
    </row>
    <row r="222" spans="3:7" ht="15.75" thickBot="1">
      <c r="C222" s="885"/>
      <c r="D222" s="876">
        <v>2201.88077928</v>
      </c>
      <c r="E222" s="877"/>
      <c r="F222" s="878">
        <v>0</v>
      </c>
      <c r="G222" s="879">
        <v>2201.88077928</v>
      </c>
    </row>
    <row r="223" spans="3:4" ht="15">
      <c r="C223" s="886"/>
      <c r="D223" s="44"/>
    </row>
    <row r="224" spans="3:4" ht="15">
      <c r="C224" s="74"/>
      <c r="D224" s="44"/>
    </row>
    <row r="225" spans="2:4" ht="15">
      <c r="B225" s="887" t="s">
        <v>1007</v>
      </c>
      <c r="C225" s="888">
        <v>14871.08543239452</v>
      </c>
      <c r="D225" s="44"/>
    </row>
  </sheetData>
  <mergeCells count="19">
    <mergeCell ref="H175:I175"/>
    <mergeCell ref="H170:I170"/>
    <mergeCell ref="M68:O68"/>
    <mergeCell ref="U64:Z64"/>
    <mergeCell ref="C18:D18"/>
    <mergeCell ref="B21:D21"/>
    <mergeCell ref="F64:O64"/>
    <mergeCell ref="B31:B32"/>
    <mergeCell ref="P56:R56"/>
    <mergeCell ref="P68:R68"/>
    <mergeCell ref="H174:I174"/>
    <mergeCell ref="H167:I167"/>
    <mergeCell ref="H168:I168"/>
    <mergeCell ref="H169:I169"/>
    <mergeCell ref="AB77:AC77"/>
    <mergeCell ref="AB69:AC69"/>
    <mergeCell ref="AD69:AE69"/>
    <mergeCell ref="AB73:AC73"/>
    <mergeCell ref="AD73:AE73"/>
  </mergeCells>
  <conditionalFormatting sqref="B66 B68 B70 B72 B74">
    <cfRule type="cellIs" priority="1" dxfId="0" operator="equal" stopIfTrue="1">
      <formula>"OK"</formula>
    </cfRule>
  </conditionalFormatting>
  <conditionalFormatting sqref="L107 L114 L121">
    <cfRule type="cellIs" priority="2" dxfId="1" operator="lessThan" stopIfTrue="1">
      <formula>$L$89</formula>
    </cfRule>
  </conditionalFormatting>
  <conditionalFormatting sqref="O128:S128 O131:S131 O133:S133">
    <cfRule type="cellIs" priority="3" dxfId="1" operator="lessThan" stopIfTrue="1">
      <formula>$N$137</formula>
    </cfRule>
  </conditionalFormatting>
  <printOptions/>
  <pageMargins left="0.75" right="0.75" top="0.17" bottom="1" header="0" footer="0"/>
  <pageSetup horizontalDpi="96" verticalDpi="96" orientation="landscape" paperSize="9" scale="4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"/>
  <dimension ref="A2:C8"/>
  <sheetViews>
    <sheetView workbookViewId="0" topLeftCell="A1">
      <selection activeCell="D22" sqref="D22"/>
    </sheetView>
  </sheetViews>
  <sheetFormatPr defaultColWidth="11.421875" defaultRowHeight="12.75"/>
  <cols>
    <col min="1" max="1" width="22.00390625" style="48" bestFit="1" customWidth="1"/>
    <col min="2" max="2" width="13.7109375" style="48" bestFit="1" customWidth="1"/>
    <col min="3" max="16384" width="11.421875" style="48" customWidth="1"/>
  </cols>
  <sheetData>
    <row r="2" spans="1:2" ht="12.75">
      <c r="A2" s="48" t="s">
        <v>8</v>
      </c>
      <c r="B2" s="87">
        <f>66518449.58+124797.04</f>
        <v>66643246.62</v>
      </c>
    </row>
    <row r="4" spans="1:2" ht="12.75">
      <c r="A4" s="48" t="s">
        <v>9</v>
      </c>
      <c r="B4" s="48">
        <f>'Fecha de pago'!C45</f>
        <v>0</v>
      </c>
    </row>
    <row r="5" spans="1:2" ht="12.75">
      <c r="A5" s="48" t="s">
        <v>10</v>
      </c>
      <c r="B5" s="48">
        <f>'Fecha de pago'!F21</f>
        <v>15400000</v>
      </c>
    </row>
    <row r="6" spans="1:3" ht="12.75">
      <c r="A6" s="48" t="s">
        <v>11</v>
      </c>
      <c r="B6" s="48">
        <f>'Fecha de pago'!F1-'Fecha de pago'!F2</f>
        <v>1446662613.9960003</v>
      </c>
      <c r="C6" s="48" t="s">
        <v>14</v>
      </c>
    </row>
    <row r="7" spans="1:3" ht="12.75">
      <c r="A7" s="48" t="s">
        <v>12</v>
      </c>
      <c r="B7" s="87">
        <f>70114.99+81176.62+124797.04</f>
        <v>276088.64999999997</v>
      </c>
      <c r="C7" s="48" t="s">
        <v>15</v>
      </c>
    </row>
    <row r="8" spans="1:2" ht="12.75">
      <c r="A8" s="48" t="s">
        <v>13</v>
      </c>
      <c r="B8" s="48">
        <f>B2-B4-B5-B6-B7</f>
        <v>-1395695456.0260005</v>
      </c>
    </row>
  </sheetData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6"/>
  <dimension ref="A1:K54"/>
  <sheetViews>
    <sheetView zoomScale="115" zoomScaleNormal="115" workbookViewId="0" topLeftCell="A7">
      <selection activeCell="C22" sqref="C22"/>
    </sheetView>
  </sheetViews>
  <sheetFormatPr defaultColWidth="11.421875" defaultRowHeight="12.75"/>
  <cols>
    <col min="1" max="1" width="14.28125" style="0" customWidth="1"/>
    <col min="2" max="2" width="25.28125" style="0" bestFit="1" customWidth="1"/>
    <col min="3" max="3" width="15.57421875" style="0" customWidth="1"/>
    <col min="4" max="4" width="3.28125" style="0" bestFit="1" customWidth="1"/>
    <col min="5" max="5" width="1.7109375" style="0" customWidth="1"/>
    <col min="6" max="6" width="1.8515625" style="387" customWidth="1"/>
    <col min="7" max="7" width="48.57421875" style="47" bestFit="1" customWidth="1"/>
    <col min="8" max="8" width="13.8515625" style="0" bestFit="1" customWidth="1"/>
    <col min="10" max="10" width="8.57421875" style="0" bestFit="1" customWidth="1"/>
    <col min="11" max="11" width="13.7109375" style="0" bestFit="1" customWidth="1"/>
  </cols>
  <sheetData>
    <row r="1" spans="2:11" ht="13.5" thickBot="1">
      <c r="B1" s="259" t="s">
        <v>804</v>
      </c>
      <c r="C1" s="260">
        <f>'Fecha de pago'!C49</f>
        <v>37807514.76</v>
      </c>
      <c r="J1" s="478" t="s">
        <v>811</v>
      </c>
      <c r="K1" s="479">
        <f>151637368.12-33138.01</f>
        <v>151604230.11</v>
      </c>
    </row>
    <row r="2" spans="3:11" ht="14.25">
      <c r="C2" s="48"/>
      <c r="D2" s="185"/>
      <c r="G2" s="47" t="s">
        <v>1358</v>
      </c>
      <c r="H2" s="52">
        <f>SUM(H3:H10)</f>
        <v>161966857.76000002</v>
      </c>
      <c r="J2" s="387" t="s">
        <v>376</v>
      </c>
      <c r="K2" s="87">
        <v>9579865.839999998</v>
      </c>
    </row>
    <row r="3" spans="2:11" ht="14.25">
      <c r="B3" s="412" t="s">
        <v>807</v>
      </c>
      <c r="C3" s="271">
        <f>C25</f>
        <v>68369457.25000001</v>
      </c>
      <c r="D3" s="413" t="s">
        <v>806</v>
      </c>
      <c r="G3" s="47" t="s">
        <v>1359</v>
      </c>
      <c r="H3" s="480">
        <v>0</v>
      </c>
      <c r="J3" s="481" t="s">
        <v>812</v>
      </c>
      <c r="K3" s="482">
        <v>782761.81</v>
      </c>
    </row>
    <row r="4" spans="2:4" ht="14.25">
      <c r="B4" s="274" t="s">
        <v>376</v>
      </c>
      <c r="C4" s="275">
        <f>C26</f>
        <v>3660741.58</v>
      </c>
      <c r="D4" s="414" t="s">
        <v>806</v>
      </c>
    </row>
    <row r="5" spans="1:7" ht="14.25">
      <c r="A5" s="48"/>
      <c r="B5" s="273" t="s">
        <v>808</v>
      </c>
      <c r="C5" s="275">
        <f>C27+C12+C11</f>
        <v>126962.27</v>
      </c>
      <c r="D5" s="414" t="s">
        <v>806</v>
      </c>
      <c r="G5" s="47" t="s">
        <v>1360</v>
      </c>
    </row>
    <row r="6" spans="2:8" ht="14.25">
      <c r="B6" s="273" t="s">
        <v>1464</v>
      </c>
      <c r="C6" s="275">
        <f>C28+C31+C32</f>
        <v>880016.01</v>
      </c>
      <c r="D6" s="414" t="s">
        <v>806</v>
      </c>
      <c r="G6" s="47" t="s">
        <v>1406</v>
      </c>
      <c r="H6" s="48">
        <f>K1</f>
        <v>151604230.11</v>
      </c>
    </row>
    <row r="7" spans="2:7" ht="12.75">
      <c r="B7" s="274" t="s">
        <v>1402</v>
      </c>
      <c r="C7" s="275">
        <f>C29</f>
        <v>-1102611.66</v>
      </c>
      <c r="D7" s="197"/>
      <c r="G7" s="47" t="s">
        <v>1407</v>
      </c>
    </row>
    <row r="8" spans="2:8" ht="14.25">
      <c r="B8" s="273" t="s">
        <v>805</v>
      </c>
      <c r="C8" s="275">
        <f>Español!C115</f>
        <v>28842642.35</v>
      </c>
      <c r="D8" s="414" t="s">
        <v>806</v>
      </c>
      <c r="G8" s="47" t="s">
        <v>1408</v>
      </c>
      <c r="H8" s="48">
        <f>K2</f>
        <v>9579865.839999998</v>
      </c>
    </row>
    <row r="9" spans="2:8" ht="14.25">
      <c r="B9" s="415" t="s">
        <v>1307</v>
      </c>
      <c r="C9" s="278">
        <f>-('Fecha de pago'!A45+'Fecha de pago'!C46)</f>
        <v>-12.53</v>
      </c>
      <c r="D9" s="416" t="s">
        <v>806</v>
      </c>
      <c r="G9" s="47" t="s">
        <v>1409</v>
      </c>
      <c r="H9" s="48">
        <f>K3</f>
        <v>782761.81</v>
      </c>
    </row>
    <row r="10" spans="7:8" ht="13.5" thickBot="1">
      <c r="G10" s="47" t="s">
        <v>1410</v>
      </c>
      <c r="H10" s="48"/>
    </row>
    <row r="11" spans="1:3" ht="13.5" thickBot="1">
      <c r="A11" s="48"/>
      <c r="B11" s="547" t="s">
        <v>1333</v>
      </c>
      <c r="C11" s="548"/>
    </row>
    <row r="12" spans="2:3" ht="13.5" thickBot="1">
      <c r="B12" s="547" t="s">
        <v>51</v>
      </c>
      <c r="C12" s="548"/>
    </row>
    <row r="13" spans="1:11" ht="13.5" thickBot="1">
      <c r="A13" s="48"/>
      <c r="B13" s="507"/>
      <c r="C13" s="508"/>
      <c r="G13" s="47" t="s">
        <v>1411</v>
      </c>
      <c r="H13" s="52">
        <f>SUM(H14:H32)</f>
        <v>161966857.76</v>
      </c>
      <c r="K13" s="48">
        <f>H2-H13</f>
        <v>0</v>
      </c>
    </row>
    <row r="14" spans="2:8" ht="13.5" thickBot="1">
      <c r="B14" s="261" t="s">
        <v>809</v>
      </c>
      <c r="C14" s="260">
        <f>SUM(C3:C9)</f>
        <v>100777195.27000001</v>
      </c>
      <c r="D14" s="48"/>
      <c r="G14" s="47" t="s">
        <v>1412</v>
      </c>
      <c r="H14" s="48">
        <v>0</v>
      </c>
    </row>
    <row r="15" spans="4:8" ht="12.75">
      <c r="D15" s="48"/>
      <c r="G15" s="47" t="s">
        <v>1413</v>
      </c>
      <c r="H15" s="48">
        <v>83287.67123287672</v>
      </c>
    </row>
    <row r="16" spans="4:8" ht="13.5" thickBot="1">
      <c r="D16" s="48"/>
      <c r="G16" s="47" t="s">
        <v>1414</v>
      </c>
      <c r="H16" s="483">
        <v>-13842773.82</v>
      </c>
    </row>
    <row r="17" spans="2:8" ht="13.5" thickBot="1">
      <c r="B17" s="262" t="s">
        <v>810</v>
      </c>
      <c r="C17" s="263">
        <f>C14-C1</f>
        <v>62969680.51000001</v>
      </c>
      <c r="D17" s="48"/>
      <c r="G17" s="47" t="s">
        <v>1415</v>
      </c>
      <c r="H17" s="48">
        <v>9983080</v>
      </c>
    </row>
    <row r="18" spans="4:8" ht="12.75">
      <c r="D18" s="48"/>
      <c r="G18" s="47" t="s">
        <v>1416</v>
      </c>
      <c r="H18" s="48">
        <v>7790400</v>
      </c>
    </row>
    <row r="19" spans="3:8" ht="12.75">
      <c r="C19" s="914"/>
      <c r="D19" s="48"/>
      <c r="G19" s="47" t="s">
        <v>1417</v>
      </c>
      <c r="H19" s="48">
        <v>695660</v>
      </c>
    </row>
    <row r="20" spans="7:8" ht="12.75">
      <c r="G20" s="47" t="s">
        <v>1418</v>
      </c>
      <c r="H20" s="48">
        <v>379330</v>
      </c>
    </row>
    <row r="21" spans="7:8" ht="12.75">
      <c r="G21" s="47" t="s">
        <v>1419</v>
      </c>
      <c r="H21" s="48">
        <v>428330</v>
      </c>
    </row>
    <row r="22" spans="7:8" ht="12.75">
      <c r="G22" s="47" t="s">
        <v>1420</v>
      </c>
      <c r="H22" s="48">
        <v>95417808</v>
      </c>
    </row>
    <row r="23" spans="7:8" ht="12.75">
      <c r="G23" s="47" t="s">
        <v>1421</v>
      </c>
      <c r="H23" s="48">
        <v>427044</v>
      </c>
    </row>
    <row r="24" spans="7:8" ht="12.75">
      <c r="G24" s="47" t="s">
        <v>1422</v>
      </c>
      <c r="H24" s="48">
        <v>1071321.04</v>
      </c>
    </row>
    <row r="25" spans="2:8" ht="12.75">
      <c r="B25" s="906" t="s">
        <v>811</v>
      </c>
      <c r="C25" s="907">
        <v>68369457.25000001</v>
      </c>
      <c r="G25" s="47" t="s">
        <v>1433</v>
      </c>
      <c r="H25" s="48">
        <v>34767.96328342466</v>
      </c>
    </row>
    <row r="26" spans="2:8" ht="12.75">
      <c r="B26" s="908" t="s">
        <v>376</v>
      </c>
      <c r="C26" s="909">
        <v>3660741.58</v>
      </c>
      <c r="G26" s="47" t="s">
        <v>1434</v>
      </c>
      <c r="H26" s="48">
        <v>1295583.7654837072</v>
      </c>
    </row>
    <row r="27" spans="2:8" ht="12.75">
      <c r="B27" s="910" t="s">
        <v>812</v>
      </c>
      <c r="C27" s="911">
        <v>126962.27</v>
      </c>
      <c r="G27" s="47" t="s">
        <v>1435</v>
      </c>
      <c r="H27" s="48">
        <f>58236157.15-33138.01</f>
        <v>58203019.14</v>
      </c>
    </row>
    <row r="28" spans="1:8" ht="12.75">
      <c r="A28" s="48"/>
      <c r="B28" s="912" t="s">
        <v>1464</v>
      </c>
      <c r="C28" s="913">
        <v>880016.01</v>
      </c>
      <c r="H28" s="48"/>
    </row>
    <row r="29" spans="1:3" ht="12.75">
      <c r="A29" s="48"/>
      <c r="B29" s="964" t="s">
        <v>1361</v>
      </c>
      <c r="C29" s="965">
        <v>-1102611.66</v>
      </c>
    </row>
    <row r="30" spans="1:8" ht="12.75">
      <c r="A30" s="552"/>
      <c r="B30" s="553"/>
      <c r="C30" s="272"/>
      <c r="H30" s="48"/>
    </row>
    <row r="31" spans="1:8" ht="12.75">
      <c r="A31" s="554"/>
      <c r="B31" s="555"/>
      <c r="C31" s="279"/>
      <c r="H31" s="48"/>
    </row>
    <row r="32" spans="1:3" ht="12.75">
      <c r="A32" s="556"/>
      <c r="B32" s="169"/>
      <c r="C32" s="557"/>
    </row>
    <row r="33" spans="1:7" ht="12.75">
      <c r="A33" s="55"/>
      <c r="G33" s="47" t="s">
        <v>1436</v>
      </c>
    </row>
    <row r="34" ht="12.75">
      <c r="G34" s="47" t="s">
        <v>1437</v>
      </c>
    </row>
    <row r="35" spans="7:8" ht="12.75">
      <c r="G35" s="47" t="s">
        <v>1438</v>
      </c>
      <c r="H35" s="61">
        <v>38000000</v>
      </c>
    </row>
    <row r="36" spans="7:8" ht="12.75">
      <c r="G36" s="47" t="s">
        <v>1439</v>
      </c>
      <c r="H36" s="61">
        <f>+H35-H37</f>
        <v>0</v>
      </c>
    </row>
    <row r="37" spans="7:8" ht="12.75">
      <c r="G37" s="47" t="s">
        <v>1440</v>
      </c>
      <c r="H37" s="52">
        <v>38000000</v>
      </c>
    </row>
    <row r="38" spans="7:8" ht="12.75">
      <c r="G38" s="47" t="s">
        <v>1441</v>
      </c>
      <c r="H38" s="48">
        <f>H27</f>
        <v>58203019.14</v>
      </c>
    </row>
    <row r="39" spans="7:8" ht="12.75">
      <c r="G39" s="47" t="s">
        <v>1442</v>
      </c>
      <c r="H39" s="48">
        <v>749.66</v>
      </c>
    </row>
    <row r="40" spans="7:8" ht="12.75">
      <c r="G40" s="47" t="s">
        <v>1443</v>
      </c>
      <c r="H40" s="48">
        <v>528367.84</v>
      </c>
    </row>
    <row r="41" spans="7:8" ht="12.75">
      <c r="G41" s="47" t="s">
        <v>1444</v>
      </c>
      <c r="H41" s="48">
        <v>873722.62</v>
      </c>
    </row>
    <row r="42" spans="7:8" ht="12.75">
      <c r="G42" s="47" t="s">
        <v>1446</v>
      </c>
      <c r="H42" s="52">
        <f>SUM(H37:H41)</f>
        <v>97605859.26</v>
      </c>
    </row>
    <row r="44" ht="12.75">
      <c r="K44">
        <v>735766.42</v>
      </c>
    </row>
    <row r="45" ht="12.75">
      <c r="K45">
        <v>137956.2</v>
      </c>
    </row>
    <row r="46" spans="2:11" ht="12.75">
      <c r="B46" s="48"/>
      <c r="K46">
        <f>+K45+K44</f>
        <v>873722.6200000001</v>
      </c>
    </row>
    <row r="47" ht="13.5" thickBot="1">
      <c r="B47" s="48"/>
    </row>
    <row r="48" spans="2:8" ht="13.5" thickBot="1">
      <c r="B48" s="48"/>
      <c r="G48" s="484" t="s">
        <v>1447</v>
      </c>
      <c r="H48" s="485">
        <v>97605859.26</v>
      </c>
    </row>
    <row r="54" ht="12.75">
      <c r="H54" s="48">
        <f>+H42-H48</f>
        <v>0</v>
      </c>
    </row>
  </sheetData>
  <printOptions/>
  <pageMargins left="0.75" right="0.75" top="1" bottom="1" header="0" footer="0"/>
  <pageSetup horizontalDpi="600" verticalDpi="600" orientation="portrait" paperSize="9" scale="7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"/>
  <dimension ref="A1:G328"/>
  <sheetViews>
    <sheetView zoomScaleSheetLayoutView="100" workbookViewId="0" topLeftCell="A229">
      <selection activeCell="F10" sqref="F10"/>
    </sheetView>
  </sheetViews>
  <sheetFormatPr defaultColWidth="11.421875" defaultRowHeight="12.75"/>
  <cols>
    <col min="1" max="1" width="16.7109375" style="0" customWidth="1"/>
    <col min="2" max="2" width="15.00390625" style="0" customWidth="1"/>
    <col min="3" max="4" width="14.140625" style="0" bestFit="1" customWidth="1"/>
    <col min="5" max="5" width="13.57421875" style="0" customWidth="1"/>
    <col min="6" max="6" width="24.28125" style="0" bestFit="1" customWidth="1"/>
    <col min="7" max="7" width="4.57421875" style="0" customWidth="1"/>
  </cols>
  <sheetData>
    <row r="1" ht="12.75">
      <c r="G1" s="387"/>
    </row>
    <row r="2" ht="12.75">
      <c r="G2" s="387"/>
    </row>
    <row r="9" spans="5:6" ht="12.75">
      <c r="E9" s="388" t="s">
        <v>1310</v>
      </c>
      <c r="F9" s="389">
        <v>40350</v>
      </c>
    </row>
    <row r="13" ht="12.75">
      <c r="E13" s="390"/>
    </row>
    <row r="16" spans="1:3" ht="12.75">
      <c r="A16" s="391" t="s">
        <v>1311</v>
      </c>
      <c r="B16" s="391" t="s">
        <v>385</v>
      </c>
      <c r="C16" s="391"/>
    </row>
    <row r="17" spans="1:3" ht="12.75">
      <c r="A17" s="391"/>
      <c r="B17" s="391" t="s">
        <v>1312</v>
      </c>
      <c r="C17" s="391"/>
    </row>
    <row r="18" spans="1:3" ht="12.75">
      <c r="A18" s="391"/>
      <c r="B18" s="391"/>
      <c r="C18" s="391"/>
    </row>
    <row r="19" spans="1:3" ht="12.75">
      <c r="A19" s="391" t="s">
        <v>1313</v>
      </c>
      <c r="B19" s="391" t="s">
        <v>7</v>
      </c>
      <c r="C19" s="391"/>
    </row>
    <row r="20" spans="1:3" ht="12.75">
      <c r="A20" s="391"/>
      <c r="B20" s="391" t="s">
        <v>1314</v>
      </c>
      <c r="C20" s="391"/>
    </row>
    <row r="26" ht="12.75">
      <c r="A26" s="392" t="s">
        <v>1315</v>
      </c>
    </row>
    <row r="27" spans="1:4" ht="12.75">
      <c r="A27" s="392" t="str">
        <f>"INICIALES EMPRESAS BANESTO 1 F.T.A.  A  "&amp;TEXT(F9,"DD.MM.AA")</f>
        <v>INICIALES EMPRESAS BANESTO 1 F.T.A.  A  21.06.10</v>
      </c>
      <c r="D27" s="393"/>
    </row>
    <row r="29" spans="1:4" ht="12.75">
      <c r="A29" t="s">
        <v>1316</v>
      </c>
      <c r="C29" s="49"/>
      <c r="D29" s="49"/>
    </row>
    <row r="30" spans="1:4" ht="12.75">
      <c r="A30" s="222" t="s">
        <v>1142</v>
      </c>
      <c r="D30" s="49"/>
    </row>
    <row r="34" spans="2:6" ht="12.75">
      <c r="B34" s="49" t="s">
        <v>1319</v>
      </c>
      <c r="C34" s="49"/>
      <c r="F34" s="394">
        <f>F38+F41</f>
        <v>0</v>
      </c>
    </row>
    <row r="35" spans="2:5" ht="12.75">
      <c r="B35" t="s">
        <v>1320</v>
      </c>
      <c r="E35" s="83"/>
    </row>
    <row r="36" ht="12.75">
      <c r="E36" s="83"/>
    </row>
    <row r="37" ht="12.75">
      <c r="E37" s="83"/>
    </row>
    <row r="38" spans="1:6" ht="12.75">
      <c r="A38" t="s">
        <v>1321</v>
      </c>
      <c r="F38" s="395">
        <f>'Fecha de pago'!H175</f>
        <v>0</v>
      </c>
    </row>
    <row r="39" ht="12.75">
      <c r="C39" s="396"/>
    </row>
    <row r="40" ht="12.75">
      <c r="C40" s="397"/>
    </row>
    <row r="41" spans="1:6" ht="12.75">
      <c r="A41" t="s">
        <v>1322</v>
      </c>
      <c r="F41" s="394">
        <f>'Fecha de pago'!H174</f>
        <v>0</v>
      </c>
    </row>
    <row r="42" spans="1:5" ht="12.75">
      <c r="A42" t="s">
        <v>1323</v>
      </c>
      <c r="E42" s="394">
        <f>'Fecha de pago'!H173</f>
        <v>508804.74</v>
      </c>
    </row>
    <row r="44" ht="12.75">
      <c r="F44" s="398"/>
    </row>
    <row r="45" ht="12.75">
      <c r="F45" s="398"/>
    </row>
    <row r="47" ht="12.75">
      <c r="A47" s="83" t="s">
        <v>1324</v>
      </c>
    </row>
    <row r="49" ht="12.75">
      <c r="E49" t="s">
        <v>1487</v>
      </c>
    </row>
    <row r="54" spans="5:6" ht="12.75">
      <c r="E54" s="388" t="s">
        <v>1310</v>
      </c>
      <c r="F54" s="389">
        <f>TRANSFERENCIAS!F9</f>
        <v>40350</v>
      </c>
    </row>
    <row r="61" spans="1:3" ht="12.75">
      <c r="A61" s="391" t="s">
        <v>1311</v>
      </c>
      <c r="B61" s="391" t="s">
        <v>385</v>
      </c>
      <c r="C61" s="391"/>
    </row>
    <row r="62" spans="1:3" ht="12.75">
      <c r="A62" s="391"/>
      <c r="B62" s="391" t="s">
        <v>1312</v>
      </c>
      <c r="C62" s="391"/>
    </row>
    <row r="63" spans="1:3" ht="12.75">
      <c r="A63" s="391"/>
      <c r="B63" s="391"/>
      <c r="C63" s="391"/>
    </row>
    <row r="64" spans="1:3" ht="12.75">
      <c r="A64" s="391" t="s">
        <v>1313</v>
      </c>
      <c r="B64" s="391" t="s">
        <v>7</v>
      </c>
      <c r="C64" s="391"/>
    </row>
    <row r="65" spans="1:3" ht="12.75">
      <c r="A65" s="391"/>
      <c r="B65" s="391" t="s">
        <v>1314</v>
      </c>
      <c r="C65" s="391"/>
    </row>
    <row r="71" ht="12.75">
      <c r="A71" t="s">
        <v>1325</v>
      </c>
    </row>
    <row r="73" ht="12.75">
      <c r="B73" t="s">
        <v>1326</v>
      </c>
    </row>
    <row r="74" ht="12.75">
      <c r="A74" s="392" t="s">
        <v>1327</v>
      </c>
    </row>
    <row r="78" spans="1:3" ht="12.75">
      <c r="A78" t="s">
        <v>1328</v>
      </c>
      <c r="C78" t="s">
        <v>1329</v>
      </c>
    </row>
    <row r="79" spans="1:6" ht="12.75">
      <c r="A79" t="s">
        <v>1334</v>
      </c>
      <c r="C79" s="49" t="s">
        <v>1309</v>
      </c>
      <c r="E79" s="83" t="s">
        <v>1335</v>
      </c>
      <c r="F79" t="s">
        <v>385</v>
      </c>
    </row>
    <row r="80" spans="1:6" ht="12.75">
      <c r="A80" t="s">
        <v>1347</v>
      </c>
      <c r="C80" t="s">
        <v>7</v>
      </c>
      <c r="E80" s="83"/>
      <c r="F80" s="49" t="s">
        <v>1348</v>
      </c>
    </row>
    <row r="81" spans="1:6" ht="12.75">
      <c r="A81" t="s">
        <v>1349</v>
      </c>
      <c r="C81" s="49" t="s">
        <v>1350</v>
      </c>
      <c r="E81" s="83" t="s">
        <v>1335</v>
      </c>
      <c r="F81" t="s">
        <v>1351</v>
      </c>
    </row>
    <row r="82" spans="3:6" ht="12.75">
      <c r="C82" s="49"/>
      <c r="F82" s="49" t="s">
        <v>1352</v>
      </c>
    </row>
    <row r="83" spans="1:4" ht="12.75">
      <c r="A83" t="s">
        <v>1353</v>
      </c>
      <c r="C83" s="399">
        <f>'Fecha de pago'!C51</f>
        <v>0</v>
      </c>
    </row>
    <row r="84" spans="1:3" ht="12.75">
      <c r="A84" t="s">
        <v>1355</v>
      </c>
      <c r="C84" s="400">
        <f>+F54</f>
        <v>40350</v>
      </c>
    </row>
    <row r="90" ht="12.75">
      <c r="A90" s="83" t="s">
        <v>1324</v>
      </c>
    </row>
    <row r="93" ht="12.75">
      <c r="E93" t="s">
        <v>1487</v>
      </c>
    </row>
    <row r="102" spans="5:6" ht="12.75">
      <c r="E102" s="388" t="s">
        <v>1310</v>
      </c>
      <c r="F102" s="389">
        <f>TRANSFERENCIAS!F9</f>
        <v>40350</v>
      </c>
    </row>
    <row r="109" spans="1:3" ht="12.75">
      <c r="A109" s="391" t="s">
        <v>1311</v>
      </c>
      <c r="B109" s="391" t="s">
        <v>385</v>
      </c>
      <c r="C109" s="391"/>
    </row>
    <row r="110" spans="1:3" ht="12.75">
      <c r="A110" s="391"/>
      <c r="B110" s="391" t="s">
        <v>1312</v>
      </c>
      <c r="C110" s="391"/>
    </row>
    <row r="111" spans="1:3" ht="12.75">
      <c r="A111" s="391"/>
      <c r="B111" s="391"/>
      <c r="C111" s="391"/>
    </row>
    <row r="112" spans="1:3" ht="12.75">
      <c r="A112" s="391" t="s">
        <v>1313</v>
      </c>
      <c r="B112" s="391" t="s">
        <v>7</v>
      </c>
      <c r="C112" s="391"/>
    </row>
    <row r="113" spans="1:3" ht="12.75">
      <c r="A113" s="391"/>
      <c r="B113" s="391" t="s">
        <v>1314</v>
      </c>
      <c r="C113" s="391"/>
    </row>
    <row r="119" ht="12.75">
      <c r="A119" t="s">
        <v>1325</v>
      </c>
    </row>
    <row r="121" ht="12.75">
      <c r="B121" t="s">
        <v>1326</v>
      </c>
    </row>
    <row r="122" ht="12.75">
      <c r="A122" s="392" t="s">
        <v>1357</v>
      </c>
    </row>
    <row r="126" spans="1:3" ht="12.75">
      <c r="A126" t="s">
        <v>1328</v>
      </c>
      <c r="C126" t="s">
        <v>1329</v>
      </c>
    </row>
    <row r="127" spans="1:6" ht="12.75">
      <c r="A127" t="s">
        <v>1334</v>
      </c>
      <c r="C127" s="49" t="s">
        <v>1309</v>
      </c>
      <c r="D127" s="49"/>
      <c r="E127" s="83" t="s">
        <v>1335</v>
      </c>
      <c r="F127" t="s">
        <v>385</v>
      </c>
    </row>
    <row r="128" spans="1:6" ht="12.75">
      <c r="A128" t="s">
        <v>1347</v>
      </c>
      <c r="C128" t="s">
        <v>7</v>
      </c>
      <c r="E128" s="83"/>
      <c r="F128" s="49" t="s">
        <v>1348</v>
      </c>
    </row>
    <row r="129" spans="1:6" ht="12.75">
      <c r="A129" t="s">
        <v>1349</v>
      </c>
      <c r="C129" s="49" t="s">
        <v>1350</v>
      </c>
      <c r="D129" s="49"/>
      <c r="E129" s="83" t="s">
        <v>1335</v>
      </c>
      <c r="F129" t="s">
        <v>1351</v>
      </c>
    </row>
    <row r="130" ht="12.75">
      <c r="F130" s="49" t="s">
        <v>1352</v>
      </c>
    </row>
    <row r="131" spans="1:4" ht="12.75">
      <c r="A131" t="s">
        <v>1353</v>
      </c>
      <c r="C131" s="399">
        <f>'Fecha de pago'!C55</f>
        <v>27591.09229589041</v>
      </c>
    </row>
    <row r="132" spans="1:3" ht="12.75">
      <c r="A132" t="s">
        <v>1355</v>
      </c>
      <c r="C132" s="400">
        <f>+F102</f>
        <v>40350</v>
      </c>
    </row>
    <row r="139" ht="12.75">
      <c r="A139" s="83" t="s">
        <v>1324</v>
      </c>
    </row>
    <row r="141" ht="12.75">
      <c r="E141" t="s">
        <v>1487</v>
      </c>
    </row>
    <row r="150" spans="5:6" ht="12.75">
      <c r="E150" s="388" t="s">
        <v>1310</v>
      </c>
      <c r="F150" s="389">
        <f>TRANSFERENCIAS!F9</f>
        <v>40350</v>
      </c>
    </row>
    <row r="157" spans="1:3" ht="12.75">
      <c r="A157" s="391" t="s">
        <v>1311</v>
      </c>
      <c r="B157" s="391" t="s">
        <v>385</v>
      </c>
      <c r="C157" s="391"/>
    </row>
    <row r="158" spans="1:3" ht="12.75">
      <c r="A158" s="391"/>
      <c r="B158" s="391" t="s">
        <v>1312</v>
      </c>
      <c r="C158" s="391"/>
    </row>
    <row r="159" spans="1:3" ht="12.75">
      <c r="A159" s="391"/>
      <c r="B159" s="391"/>
      <c r="C159" s="391"/>
    </row>
    <row r="160" spans="1:3" ht="12.75">
      <c r="A160" s="391" t="s">
        <v>1313</v>
      </c>
      <c r="B160" s="391" t="s">
        <v>7</v>
      </c>
      <c r="C160" s="391"/>
    </row>
    <row r="161" spans="1:3" ht="12.75">
      <c r="A161" s="391"/>
      <c r="B161" s="391" t="s">
        <v>1314</v>
      </c>
      <c r="C161" s="391"/>
    </row>
    <row r="167" ht="12.75">
      <c r="A167" s="392" t="s">
        <v>1483</v>
      </c>
    </row>
    <row r="169" spans="1:3" ht="12.75">
      <c r="A169" t="s">
        <v>1484</v>
      </c>
      <c r="C169" s="49"/>
    </row>
    <row r="170" ht="12.75">
      <c r="A170" s="222" t="s">
        <v>1485</v>
      </c>
    </row>
    <row r="174" spans="2:5" ht="12.75">
      <c r="B174" t="s">
        <v>1319</v>
      </c>
      <c r="C174" s="49"/>
      <c r="D174" s="49"/>
      <c r="E174" s="399">
        <f>'Fecha de pago'!C188</f>
        <v>-73451228.3522959</v>
      </c>
    </row>
    <row r="175" spans="2:5" ht="12.75">
      <c r="B175" t="s">
        <v>1486</v>
      </c>
      <c r="E175" s="83"/>
    </row>
    <row r="176" ht="12.75">
      <c r="E176" s="83"/>
    </row>
    <row r="177" ht="12.75">
      <c r="C177" s="397"/>
    </row>
    <row r="184" ht="12.75">
      <c r="A184" s="83" t="s">
        <v>1324</v>
      </c>
    </row>
    <row r="187" ht="12.75">
      <c r="E187" t="s">
        <v>1487</v>
      </c>
    </row>
    <row r="196" spans="5:6" ht="12.75">
      <c r="E196" s="388" t="s">
        <v>1310</v>
      </c>
      <c r="F196" s="389">
        <f>TRANSFERENCIAS!F9</f>
        <v>40350</v>
      </c>
    </row>
    <row r="203" spans="1:3" ht="12.75">
      <c r="A203" s="391" t="s">
        <v>1311</v>
      </c>
      <c r="B203" s="391" t="s">
        <v>385</v>
      </c>
      <c r="C203" s="391"/>
    </row>
    <row r="204" spans="1:3" ht="12.75">
      <c r="A204" s="391"/>
      <c r="B204" s="391" t="s">
        <v>1312</v>
      </c>
      <c r="C204" s="391"/>
    </row>
    <row r="205" spans="1:3" ht="12.75">
      <c r="A205" s="391"/>
      <c r="B205" s="391"/>
      <c r="C205" s="391"/>
    </row>
    <row r="206" spans="1:3" ht="12.75">
      <c r="A206" s="391" t="s">
        <v>1313</v>
      </c>
      <c r="B206" s="391" t="s">
        <v>7</v>
      </c>
      <c r="C206" s="391"/>
    </row>
    <row r="207" spans="1:3" ht="12.75">
      <c r="A207" s="391"/>
      <c r="B207" s="391" t="s">
        <v>1314</v>
      </c>
      <c r="C207" s="391"/>
    </row>
    <row r="213" ht="12.75">
      <c r="A213" s="392" t="s">
        <v>1488</v>
      </c>
    </row>
    <row r="215" spans="1:3" ht="12.75">
      <c r="A215" t="s">
        <v>1484</v>
      </c>
      <c r="C215" s="49"/>
    </row>
    <row r="216" ht="12.75">
      <c r="A216" s="222" t="s">
        <v>1489</v>
      </c>
    </row>
    <row r="220" spans="2:5" ht="12.75">
      <c r="B220" t="s">
        <v>1319</v>
      </c>
      <c r="C220" s="49"/>
      <c r="D220" s="49"/>
      <c r="E220" s="399">
        <f>'Fecha de pago'!C186</f>
        <v>0</v>
      </c>
    </row>
    <row r="221" spans="2:5" ht="12.75">
      <c r="B221" t="s">
        <v>1356</v>
      </c>
      <c r="E221" s="83"/>
    </row>
    <row r="222" ht="12.75">
      <c r="E222" s="83"/>
    </row>
    <row r="223" ht="12.75">
      <c r="C223" s="397"/>
    </row>
    <row r="230" ht="12.75">
      <c r="A230" s="83" t="s">
        <v>1324</v>
      </c>
    </row>
    <row r="233" ht="12.75">
      <c r="E233" t="s">
        <v>1487</v>
      </c>
    </row>
    <row r="241" spans="5:6" ht="12.75">
      <c r="E241" s="388" t="s">
        <v>1310</v>
      </c>
      <c r="F241" s="389">
        <f>TRANSFERENCIAS!F9</f>
        <v>40350</v>
      </c>
    </row>
    <row r="248" spans="1:3" ht="12.75">
      <c r="A248" s="391" t="s">
        <v>1311</v>
      </c>
      <c r="B248" s="391" t="s">
        <v>385</v>
      </c>
      <c r="C248" s="391"/>
    </row>
    <row r="249" spans="1:3" ht="12.75">
      <c r="A249" s="391"/>
      <c r="B249" s="391" t="s">
        <v>1312</v>
      </c>
      <c r="C249" s="391"/>
    </row>
    <row r="250" spans="1:3" ht="12.75">
      <c r="A250" s="391"/>
      <c r="B250" s="391"/>
      <c r="C250" s="391"/>
    </row>
    <row r="251" spans="1:3" ht="12.75">
      <c r="A251" s="391" t="s">
        <v>1313</v>
      </c>
      <c r="B251" s="391" t="s">
        <v>7</v>
      </c>
      <c r="C251" s="391"/>
    </row>
    <row r="252" spans="1:3" ht="12.75">
      <c r="A252" s="391"/>
      <c r="B252" s="391" t="s">
        <v>1314</v>
      </c>
      <c r="C252" s="391"/>
    </row>
    <row r="258" ht="12.75">
      <c r="A258" s="392" t="s">
        <v>1033</v>
      </c>
    </row>
    <row r="260" spans="1:3" ht="12.75">
      <c r="A260" t="s">
        <v>1484</v>
      </c>
      <c r="C260" s="49"/>
    </row>
    <row r="261" ht="12.75">
      <c r="A261" s="222" t="s">
        <v>1034</v>
      </c>
    </row>
    <row r="267" ht="12.75">
      <c r="E267" s="83"/>
    </row>
    <row r="268" spans="2:6" ht="12.75">
      <c r="B268" t="s">
        <v>970</v>
      </c>
      <c r="C268" s="397"/>
      <c r="F268" s="717">
        <f>'Fecha de pago'!F61</f>
        <v>3660655.44</v>
      </c>
    </row>
    <row r="269" spans="2:6" ht="12.75">
      <c r="B269" t="s">
        <v>1036</v>
      </c>
      <c r="F269" s="717">
        <f>'Fecha de pago'!F62</f>
        <v>1717957.89</v>
      </c>
    </row>
    <row r="271" spans="2:4" ht="12.75">
      <c r="B271" t="s">
        <v>1319</v>
      </c>
      <c r="C271" s="49"/>
      <c r="D271" s="49"/>
    </row>
    <row r="272" spans="2:6" ht="12.75">
      <c r="B272" t="s">
        <v>1035</v>
      </c>
      <c r="E272" s="83"/>
      <c r="F272" s="399">
        <f>IF('Fecha de pago'!C62&gt;0,'Fecha de pago'!C62,"No cargar nada en cuenta; Swap favorable al Fondo")</f>
        <v>1942697.55</v>
      </c>
    </row>
    <row r="275" ht="12.75">
      <c r="A275" s="83" t="s">
        <v>1324</v>
      </c>
    </row>
    <row r="278" ht="12.75">
      <c r="E278" t="s">
        <v>1487</v>
      </c>
    </row>
    <row r="288" spans="5:6" ht="12.75">
      <c r="E288" s="388" t="s">
        <v>1310</v>
      </c>
      <c r="F288" s="389">
        <f>TRANSFERENCIAS!F9</f>
        <v>40350</v>
      </c>
    </row>
    <row r="295" spans="1:3" ht="12.75">
      <c r="A295" s="391" t="s">
        <v>1311</v>
      </c>
      <c r="B295" s="391" t="s">
        <v>385</v>
      </c>
      <c r="C295" s="391"/>
    </row>
    <row r="296" spans="1:3" ht="12.75">
      <c r="A296" s="391"/>
      <c r="B296" s="391" t="s">
        <v>1312</v>
      </c>
      <c r="C296" s="391"/>
    </row>
    <row r="297" spans="1:3" ht="12.75">
      <c r="A297" s="391"/>
      <c r="B297" s="391"/>
      <c r="C297" s="391"/>
    </row>
    <row r="298" spans="1:3" ht="12.75">
      <c r="A298" s="391" t="s">
        <v>1313</v>
      </c>
      <c r="B298" s="391" t="s">
        <v>7</v>
      </c>
      <c r="C298" s="391"/>
    </row>
    <row r="299" spans="1:3" ht="12.75">
      <c r="A299" s="391"/>
      <c r="B299" s="391" t="s">
        <v>1314</v>
      </c>
      <c r="C299" s="391"/>
    </row>
    <row r="305" ht="12.75">
      <c r="A305" s="392" t="s">
        <v>1143</v>
      </c>
    </row>
    <row r="306" spans="1:3" ht="12.75">
      <c r="A306" s="392" t="str">
        <f>"EMPRESAS BANESTO 1 A "&amp;TEXT(F288,"DD MM AA")</f>
        <v>EMPRESAS BANESTO 1 A 21 06 10</v>
      </c>
      <c r="C306" s="393"/>
    </row>
    <row r="308" spans="1:4" ht="12.75">
      <c r="A308" t="s">
        <v>1146</v>
      </c>
      <c r="C308" s="49"/>
      <c r="D308" s="49"/>
    </row>
    <row r="309" spans="1:4" ht="12.75">
      <c r="A309" s="222" t="s">
        <v>1145</v>
      </c>
      <c r="D309" s="49"/>
    </row>
    <row r="313" spans="2:6" ht="12.75">
      <c r="B313" t="s">
        <v>1319</v>
      </c>
      <c r="C313" s="49"/>
      <c r="F313" s="394">
        <f>'Fecha de pago'!H170</f>
        <v>0</v>
      </c>
    </row>
    <row r="314" spans="2:5" ht="12.75">
      <c r="B314" t="s">
        <v>1144</v>
      </c>
      <c r="E314" s="83"/>
    </row>
    <row r="315" ht="12.75">
      <c r="E315" s="83"/>
    </row>
    <row r="316" ht="12.75">
      <c r="E316" s="83"/>
    </row>
    <row r="317" spans="1:6" ht="12.75">
      <c r="A317" t="s">
        <v>1321</v>
      </c>
      <c r="F317" s="395">
        <f>+F313</f>
        <v>0</v>
      </c>
    </row>
    <row r="318" ht="12.75">
      <c r="C318" s="396"/>
    </row>
    <row r="319" ht="12.75">
      <c r="C319" s="397"/>
    </row>
    <row r="320" spans="1:6" ht="12.75">
      <c r="A320" t="str">
        <f>"En cuanto a la amortización del Préstamo Subordinado , se amortizarán "&amp;TEXT('Fecha de pago'!H169,"#.0,00 €")</f>
        <v>En cuanto a la amortización del Préstamo Subordinado , se amortizarán 0,00 €</v>
      </c>
      <c r="F320" s="394"/>
    </row>
    <row r="321" spans="1:5" ht="12.75">
      <c r="A321" t="str">
        <f>"quedando un importe pendiente de amortizar de "&amp;TEXT('Fecha de pago'!H168,"#.0,00 €")</f>
        <v>quedando un importe pendiente de amortizar de 38.000.000,00 €</v>
      </c>
      <c r="E321" s="394"/>
    </row>
    <row r="323" ht="12.75">
      <c r="F323" s="398"/>
    </row>
    <row r="324" ht="12.75">
      <c r="F324" s="398"/>
    </row>
    <row r="325" ht="12.75">
      <c r="A325" s="83" t="s">
        <v>1324</v>
      </c>
    </row>
    <row r="328" ht="12.75">
      <c r="E328" t="s">
        <v>1487</v>
      </c>
    </row>
  </sheetData>
  <printOptions/>
  <pageMargins left="0.75" right="0.75" top="1" bottom="1" header="0" footer="0"/>
  <pageSetup horizontalDpi="600" verticalDpi="600" orientation="portrait" paperSize="9" scale="79" r:id="rId2"/>
  <rowBreaks count="7" manualBreakCount="7">
    <brk id="51" max="5" man="1"/>
    <brk id="94" max="255" man="1"/>
    <brk id="143" max="255" man="1"/>
    <brk id="189" max="255" man="1"/>
    <brk id="235" max="255" man="1"/>
    <brk id="280" max="255" man="1"/>
    <brk id="332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K72"/>
  <sheetViews>
    <sheetView workbookViewId="0" topLeftCell="A7">
      <selection activeCell="D3" sqref="D3"/>
    </sheetView>
  </sheetViews>
  <sheetFormatPr defaultColWidth="11.421875" defaultRowHeight="12.75"/>
  <cols>
    <col min="1" max="3" width="10.8515625" style="0" customWidth="1"/>
    <col min="4" max="4" width="24.28125" style="0" customWidth="1"/>
    <col min="5" max="9" width="18.7109375" style="0" customWidth="1"/>
    <col min="10" max="10" width="10.8515625" style="0" customWidth="1"/>
    <col min="11" max="11" width="35.8515625" style="0" customWidth="1"/>
    <col min="12" max="16384" width="10.8515625" style="0" customWidth="1"/>
  </cols>
  <sheetData>
    <row r="1" ht="12.75">
      <c r="K1" s="725" t="s">
        <v>372</v>
      </c>
    </row>
    <row r="2" ht="12.75">
      <c r="K2" s="726">
        <f>Español!G14</f>
        <v>40350</v>
      </c>
    </row>
    <row r="4" spans="1:11" ht="12.75">
      <c r="A4" s="96"/>
      <c r="K4" s="725" t="s">
        <v>652</v>
      </c>
    </row>
    <row r="5" spans="1:11" ht="12.75">
      <c r="A5" s="96"/>
      <c r="B5" s="675"/>
      <c r="C5" s="727"/>
      <c r="K5" s="726">
        <f>Español!G15</f>
        <v>40259</v>
      </c>
    </row>
    <row r="7" spans="1:11" ht="15.75" customHeight="1">
      <c r="A7" s="986" t="s">
        <v>1152</v>
      </c>
      <c r="B7" s="986"/>
      <c r="C7" s="986"/>
      <c r="D7" s="986"/>
      <c r="E7" s="986"/>
      <c r="F7" s="986"/>
      <c r="G7" s="986"/>
      <c r="H7" s="986"/>
      <c r="I7" s="986"/>
      <c r="K7" s="725" t="s">
        <v>373</v>
      </c>
    </row>
    <row r="8" spans="1:11" ht="15.75" customHeight="1">
      <c r="A8" s="986" t="str">
        <f>"PAGO DE CUPON PROXIMO "&amp;DAY($K$2)&amp;" de "&amp;TEXT($K$2,"mmmm aaaa")</f>
        <v>PAGO DE CUPON PROXIMO 21 de junio 2010</v>
      </c>
      <c r="B8" s="986"/>
      <c r="C8" s="986"/>
      <c r="D8" s="986"/>
      <c r="E8" s="986"/>
      <c r="F8" s="986"/>
      <c r="G8" s="986"/>
      <c r="H8" s="986"/>
      <c r="I8" s="986"/>
      <c r="K8" s="726">
        <f>Español!G18</f>
        <v>40441</v>
      </c>
    </row>
    <row r="9" spans="1:9" ht="15.75" customHeight="1">
      <c r="A9" s="986" t="s">
        <v>653</v>
      </c>
      <c r="B9" s="986"/>
      <c r="C9" s="986"/>
      <c r="D9" s="986"/>
      <c r="E9" s="986"/>
      <c r="F9" s="986"/>
      <c r="G9" s="986"/>
      <c r="H9" s="986"/>
      <c r="I9" s="986"/>
    </row>
    <row r="10" ht="12.75">
      <c r="K10" s="725" t="s">
        <v>654</v>
      </c>
    </row>
    <row r="11" spans="1:11" s="4" customFormat="1" ht="12.75">
      <c r="A11" s="1231" t="s">
        <v>655</v>
      </c>
      <c r="B11" s="1231"/>
      <c r="C11" s="1231"/>
      <c r="D11" s="1231"/>
      <c r="E11" s="1231"/>
      <c r="F11" s="1231"/>
      <c r="G11" s="1231"/>
      <c r="H11" s="1231"/>
      <c r="I11" s="1231"/>
      <c r="K11" s="816">
        <v>39889</v>
      </c>
    </row>
    <row r="12" spans="1:9" s="4" customFormat="1" ht="12.75" customHeight="1">
      <c r="A12" s="1231" t="s">
        <v>656</v>
      </c>
      <c r="B12" s="1231"/>
      <c r="C12" s="1231"/>
      <c r="D12" s="1231"/>
      <c r="E12" s="1231"/>
      <c r="F12" s="1231"/>
      <c r="G12" s="1231"/>
      <c r="H12" s="1231"/>
      <c r="I12" s="1231"/>
    </row>
    <row r="13" s="4" customFormat="1" ht="8.25" customHeight="1" thickBot="1"/>
    <row r="14" spans="1:9" s="235" customFormat="1" ht="18.75" customHeight="1">
      <c r="A14" s="1246" t="s">
        <v>1512</v>
      </c>
      <c r="B14" s="1247"/>
      <c r="C14" s="1247"/>
      <c r="D14" s="1248"/>
      <c r="E14" s="728" t="s">
        <v>29</v>
      </c>
      <c r="F14" s="729" t="s">
        <v>30</v>
      </c>
      <c r="G14" s="729" t="s">
        <v>1507</v>
      </c>
      <c r="H14" s="730" t="s">
        <v>1495</v>
      </c>
      <c r="I14" s="731" t="s">
        <v>19</v>
      </c>
    </row>
    <row r="15" spans="1:9" s="235" customFormat="1" ht="18.75" customHeight="1">
      <c r="A15" s="732"/>
      <c r="B15" s="733"/>
      <c r="C15" s="733"/>
      <c r="D15" s="734"/>
      <c r="E15" s="735" t="s">
        <v>657</v>
      </c>
      <c r="F15" s="736" t="s">
        <v>658</v>
      </c>
      <c r="G15" s="737" t="s">
        <v>659</v>
      </c>
      <c r="H15" s="737" t="s">
        <v>660</v>
      </c>
      <c r="I15" s="738" t="s">
        <v>661</v>
      </c>
    </row>
    <row r="16" spans="1:9" s="235" customFormat="1" ht="15" customHeight="1">
      <c r="A16" s="1232" t="str">
        <f>"1. Intereses resultantes por Bonos entre el "&amp;DAY($K$5)&amp;" de "&amp;TEXT($K$5,"mmmm aaaa")</f>
        <v>1. Intereses resultantes por Bonos entre el 22 de marzo 2010</v>
      </c>
      <c r="B16" s="1233"/>
      <c r="C16" s="1233"/>
      <c r="D16" s="1234"/>
      <c r="E16" s="1238"/>
      <c r="F16" s="1239"/>
      <c r="G16" s="1239"/>
      <c r="H16" s="1239"/>
      <c r="I16" s="1240"/>
    </row>
    <row r="17" spans="1:9" s="235" customFormat="1" ht="9.75">
      <c r="A17" s="1235" t="str">
        <f>"(incluido) y el "&amp;DAY($K$2)&amp;" de "&amp;TEXT($K$2,"mmmm aaaa")&amp;" (excluido)"</f>
        <v>(incluido) y el 21 de junio 2010 (excluido)</v>
      </c>
      <c r="B17" s="1236"/>
      <c r="C17" s="1236"/>
      <c r="D17" s="1237"/>
      <c r="E17" s="1241"/>
      <c r="F17" s="1242"/>
      <c r="G17" s="1242"/>
      <c r="H17" s="1242"/>
      <c r="I17" s="1243"/>
    </row>
    <row r="18" spans="1:9" s="235" customFormat="1" ht="8.25" customHeight="1">
      <c r="A18" s="739"/>
      <c r="B18" s="740"/>
      <c r="C18" s="740"/>
      <c r="D18" s="741"/>
      <c r="E18" s="742"/>
      <c r="F18" s="743"/>
      <c r="G18" s="743"/>
      <c r="H18" s="744"/>
      <c r="I18" s="745"/>
    </row>
    <row r="19" spans="1:9" s="235" customFormat="1" ht="9.75">
      <c r="A19" s="746"/>
      <c r="B19" s="621" t="s">
        <v>662</v>
      </c>
      <c r="C19" s="621"/>
      <c r="D19" s="747"/>
      <c r="E19" s="748">
        <f>'Fecha de pago'!O81</f>
        <v>0</v>
      </c>
      <c r="F19" s="749">
        <f>'Fecha de pago'!P81</f>
        <v>139.66</v>
      </c>
      <c r="G19" s="749">
        <f>'Fecha de pago'!Q81</f>
        <v>251.26</v>
      </c>
      <c r="H19" s="750">
        <f>'Fecha de pago'!R81</f>
        <v>365.01</v>
      </c>
      <c r="I19" s="751">
        <f>'Fecha de pago'!S81</f>
        <v>541.96</v>
      </c>
    </row>
    <row r="20" spans="1:9" s="235" customFormat="1" ht="8.25" customHeight="1">
      <c r="A20" s="746"/>
      <c r="B20" s="621"/>
      <c r="C20" s="621"/>
      <c r="D20" s="747"/>
      <c r="E20" s="752"/>
      <c r="F20" s="753"/>
      <c r="G20" s="753"/>
      <c r="H20" s="754"/>
      <c r="I20" s="755"/>
    </row>
    <row r="21" spans="1:9" s="235" customFormat="1" ht="9.75">
      <c r="A21" s="746"/>
      <c r="B21" s="621" t="s">
        <v>663</v>
      </c>
      <c r="C21" s="621"/>
      <c r="D21" s="747"/>
      <c r="E21" s="748">
        <f>'Fecha de pago'!O83</f>
        <v>0</v>
      </c>
      <c r="F21" s="749">
        <f>'Fecha de pago'!P83</f>
        <v>26.54</v>
      </c>
      <c r="G21" s="749">
        <f>'Fecha de pago'!Q83</f>
        <v>47.74</v>
      </c>
      <c r="H21" s="750">
        <f>'Fecha de pago'!R83</f>
        <v>69.35</v>
      </c>
      <c r="I21" s="751">
        <f>'Fecha de pago'!S83</f>
        <v>102.97</v>
      </c>
    </row>
    <row r="22" spans="1:9" s="235" customFormat="1" ht="6.75" customHeight="1">
      <c r="A22" s="746"/>
      <c r="B22" s="621"/>
      <c r="C22" s="621"/>
      <c r="D22" s="747"/>
      <c r="E22" s="752"/>
      <c r="F22" s="753"/>
      <c r="G22" s="753"/>
      <c r="H22" s="754"/>
      <c r="I22" s="755"/>
    </row>
    <row r="23" spans="1:9" s="235" customFormat="1" ht="9.75">
      <c r="A23" s="746"/>
      <c r="B23" s="621" t="s">
        <v>664</v>
      </c>
      <c r="C23" s="621"/>
      <c r="D23" s="747"/>
      <c r="E23" s="748">
        <f>'Fecha de pago'!O85</f>
        <v>0</v>
      </c>
      <c r="F23" s="749">
        <f>'Fecha de pago'!P85</f>
        <v>113.12</v>
      </c>
      <c r="G23" s="749">
        <f>'Fecha de pago'!Q85</f>
        <v>203.51999999999998</v>
      </c>
      <c r="H23" s="750">
        <f>'Fecha de pago'!R85</f>
        <v>295.65999999999997</v>
      </c>
      <c r="I23" s="751">
        <f>'Fecha de pago'!S85</f>
        <v>438.99</v>
      </c>
    </row>
    <row r="24" spans="1:9" s="235" customFormat="1" ht="8.25" customHeight="1">
      <c r="A24" s="756"/>
      <c r="B24" s="757"/>
      <c r="C24" s="757"/>
      <c r="D24" s="758"/>
      <c r="E24" s="759"/>
      <c r="F24" s="760"/>
      <c r="G24" s="760"/>
      <c r="H24" s="761"/>
      <c r="I24" s="762"/>
    </row>
    <row r="25" spans="1:9" s="235" customFormat="1" ht="9.75">
      <c r="A25" s="763" t="str">
        <f>"2. Amortización resultante por Bono entre el "&amp;DAY($K$5)&amp;" de "&amp;TEXT($K$5,"mmmm aaaa")</f>
        <v>2. Amortización resultante por Bono entre el 22 de marzo 2010</v>
      </c>
      <c r="B25" s="764"/>
      <c r="C25" s="764"/>
      <c r="D25" s="765"/>
      <c r="E25" s="766"/>
      <c r="F25" s="767"/>
      <c r="G25" s="767"/>
      <c r="H25" s="768"/>
      <c r="I25" s="769"/>
    </row>
    <row r="26" spans="1:9" s="235" customFormat="1" ht="9.75">
      <c r="A26" s="746" t="str">
        <f>"(Fecha de Pago anterior) y el "&amp;DAY($K$2)&amp;" de "&amp;TEXT($K$2,"mmmm aaaa")&amp;" (Fecha  de Pago"</f>
        <v>(Fecha de Pago anterior) y el 21 de junio 2010 (Fecha  de Pago</v>
      </c>
      <c r="B26" s="621"/>
      <c r="C26" s="621"/>
      <c r="D26" s="747"/>
      <c r="E26" s="770">
        <f>'Fecha de pago'!V71</f>
        <v>0</v>
      </c>
      <c r="F26" s="771">
        <f>'Fecha de pago'!V72</f>
        <v>10133.71</v>
      </c>
      <c r="G26" s="771">
        <f>'Fecha de pago'!V73</f>
        <v>0</v>
      </c>
      <c r="H26" s="771">
        <f>'Fecha de pago'!V74</f>
        <v>0</v>
      </c>
      <c r="I26" s="772">
        <f>'Fecha de pago'!V75</f>
        <v>0</v>
      </c>
    </row>
    <row r="27" spans="1:9" s="235" customFormat="1" ht="9.75">
      <c r="A27" s="756" t="s">
        <v>665</v>
      </c>
      <c r="B27" s="757"/>
      <c r="C27" s="757"/>
      <c r="D27" s="758"/>
      <c r="E27" s="773"/>
      <c r="F27" s="774"/>
      <c r="G27" s="774"/>
      <c r="H27" s="775"/>
      <c r="I27" s="776"/>
    </row>
    <row r="28" spans="1:9" s="235" customFormat="1" ht="9.75">
      <c r="A28" s="763" t="s">
        <v>666</v>
      </c>
      <c r="B28" s="764"/>
      <c r="C28" s="764"/>
      <c r="D28" s="765"/>
      <c r="E28" s="1249">
        <f>Español!G24</f>
        <v>0.14204134574807892</v>
      </c>
      <c r="F28" s="1250"/>
      <c r="G28" s="1250"/>
      <c r="H28" s="1250"/>
      <c r="I28" s="1251"/>
    </row>
    <row r="29" spans="1:9" s="235" customFormat="1" ht="9.75">
      <c r="A29" s="756" t="s">
        <v>668</v>
      </c>
      <c r="B29" s="757"/>
      <c r="C29" s="757"/>
      <c r="D29" s="758"/>
      <c r="E29" s="1252"/>
      <c r="F29" s="1253"/>
      <c r="G29" s="1253"/>
      <c r="H29" s="1253"/>
      <c r="I29" s="1254"/>
    </row>
    <row r="30" spans="1:9" s="235" customFormat="1" ht="9.75">
      <c r="A30" s="763" t="s">
        <v>669</v>
      </c>
      <c r="B30" s="764"/>
      <c r="C30" s="764"/>
      <c r="D30" s="765"/>
      <c r="E30" s="777"/>
      <c r="F30" s="778"/>
      <c r="G30" s="779"/>
      <c r="H30" s="778"/>
      <c r="I30" s="780"/>
    </row>
    <row r="31" spans="1:9" s="235" customFormat="1" ht="9.75">
      <c r="A31" s="746" t="s">
        <v>670</v>
      </c>
      <c r="B31" s="621"/>
      <c r="C31" s="621"/>
      <c r="D31" s="747"/>
      <c r="E31" s="781"/>
      <c r="F31" s="753"/>
      <c r="G31" s="782"/>
      <c r="H31" s="753"/>
      <c r="I31" s="755"/>
    </row>
    <row r="32" spans="1:9" s="235" customFormat="1" ht="9.75">
      <c r="A32" s="746" t="s">
        <v>671</v>
      </c>
      <c r="B32" s="621"/>
      <c r="C32" s="621"/>
      <c r="D32" s="747"/>
      <c r="E32" s="783" t="str">
        <f>Español!G25</f>
        <v>--</v>
      </c>
      <c r="F32" s="784">
        <f>Español!G26</f>
        <v>1.1806288242602778</v>
      </c>
      <c r="G32" s="785">
        <f>Español!G27</f>
        <v>2.1317510616951116</v>
      </c>
      <c r="H32" s="785">
        <f>Español!G28</f>
        <v>2.1317510616951116</v>
      </c>
      <c r="I32" s="786">
        <f>Español!G29</f>
        <v>2.1317510616951116</v>
      </c>
    </row>
    <row r="33" spans="1:9" s="235" customFormat="1" ht="9.75">
      <c r="A33" s="746" t="s">
        <v>672</v>
      </c>
      <c r="B33" s="621"/>
      <c r="C33" s="621"/>
      <c r="D33" s="747"/>
      <c r="E33" s="787"/>
      <c r="F33" s="788"/>
      <c r="G33" s="789"/>
      <c r="H33" s="788"/>
      <c r="I33" s="790"/>
    </row>
    <row r="34" spans="1:9" s="235" customFormat="1" ht="9.75">
      <c r="A34" s="756" t="s">
        <v>673</v>
      </c>
      <c r="B34" s="757"/>
      <c r="C34" s="757"/>
      <c r="D34" s="758"/>
      <c r="E34" s="791"/>
      <c r="F34" s="792"/>
      <c r="G34" s="793"/>
      <c r="H34" s="792"/>
      <c r="I34" s="794"/>
    </row>
    <row r="35" spans="1:9" s="235" customFormat="1" ht="12.75" customHeight="1">
      <c r="A35" s="763" t="s">
        <v>674</v>
      </c>
      <c r="B35" s="764"/>
      <c r="C35" s="764"/>
      <c r="D35" s="765"/>
      <c r="E35" s="1244">
        <f>'Fecha de pago'!U71</f>
        <v>0</v>
      </c>
      <c r="F35" s="1244">
        <f>'Fecha de pago'!U72</f>
        <v>51667.23</v>
      </c>
      <c r="G35" s="1244">
        <f>'Fecha de pago'!U73</f>
        <v>100000</v>
      </c>
      <c r="H35" s="1244">
        <f>'Fecha de pago'!U74</f>
        <v>100000</v>
      </c>
      <c r="I35" s="1255">
        <f>'Fecha de pago'!U75</f>
        <v>100000</v>
      </c>
    </row>
    <row r="36" spans="1:9" s="235" customFormat="1" ht="9.75">
      <c r="A36" s="756" t="s">
        <v>675</v>
      </c>
      <c r="B36" s="757"/>
      <c r="C36" s="757"/>
      <c r="D36" s="758"/>
      <c r="E36" s="1245"/>
      <c r="F36" s="1008"/>
      <c r="G36" s="1008"/>
      <c r="H36" s="1008"/>
      <c r="I36" s="1256">
        <v>100000</v>
      </c>
    </row>
    <row r="37" spans="1:9" s="235" customFormat="1" ht="9.75">
      <c r="A37" s="763" t="s">
        <v>676</v>
      </c>
      <c r="B37" s="764"/>
      <c r="C37" s="764"/>
      <c r="D37" s="765"/>
      <c r="E37" s="766"/>
      <c r="F37" s="767"/>
      <c r="G37" s="767"/>
      <c r="H37" s="768"/>
      <c r="I37" s="769"/>
    </row>
    <row r="38" spans="1:9" s="235" customFormat="1" ht="9.75">
      <c r="A38" s="746" t="s">
        <v>677</v>
      </c>
      <c r="B38" s="621"/>
      <c r="C38" s="621"/>
      <c r="D38" s="747"/>
      <c r="E38" s="795">
        <f>+E35/100000</f>
        <v>0</v>
      </c>
      <c r="F38" s="796">
        <v>1</v>
      </c>
      <c r="G38" s="796">
        <v>1</v>
      </c>
      <c r="H38" s="797">
        <v>1</v>
      </c>
      <c r="I38" s="798">
        <v>1</v>
      </c>
    </row>
    <row r="39" spans="1:9" s="235" customFormat="1" ht="9.75">
      <c r="A39" s="756" t="s">
        <v>678</v>
      </c>
      <c r="B39" s="757"/>
      <c r="C39" s="757"/>
      <c r="D39" s="758"/>
      <c r="E39" s="773"/>
      <c r="F39" s="774"/>
      <c r="G39" s="774"/>
      <c r="H39" s="775"/>
      <c r="I39" s="776"/>
    </row>
    <row r="40" spans="1:9" s="235" customFormat="1" ht="9.75">
      <c r="A40" s="763" t="s">
        <v>679</v>
      </c>
      <c r="B40" s="764"/>
      <c r="C40" s="764"/>
      <c r="D40" s="765"/>
      <c r="E40" s="766"/>
      <c r="F40" s="767"/>
      <c r="G40" s="767"/>
      <c r="H40" s="768"/>
      <c r="I40" s="769"/>
    </row>
    <row r="41" spans="1:9" s="235" customFormat="1" ht="9.75">
      <c r="A41" s="746" t="s">
        <v>680</v>
      </c>
      <c r="B41" s="621"/>
      <c r="C41" s="621"/>
      <c r="D41" s="747"/>
      <c r="E41" s="799" t="s">
        <v>681</v>
      </c>
      <c r="F41" s="800" t="s">
        <v>681</v>
      </c>
      <c r="G41" s="800" t="s">
        <v>681</v>
      </c>
      <c r="H41" s="800" t="s">
        <v>681</v>
      </c>
      <c r="I41" s="801" t="s">
        <v>681</v>
      </c>
    </row>
    <row r="42" spans="1:9" s="235" customFormat="1" ht="9.75">
      <c r="A42" s="756" t="s">
        <v>682</v>
      </c>
      <c r="B42" s="757"/>
      <c r="C42" s="757"/>
      <c r="D42" s="758"/>
      <c r="E42" s="773"/>
      <c r="F42" s="774"/>
      <c r="G42" s="774"/>
      <c r="H42" s="775"/>
      <c r="I42" s="776"/>
    </row>
    <row r="43" spans="1:9" s="235" customFormat="1" ht="9.75">
      <c r="A43" s="763" t="s">
        <v>683</v>
      </c>
      <c r="B43" s="764"/>
      <c r="C43" s="764"/>
      <c r="D43" s="765"/>
      <c r="E43" s="802"/>
      <c r="F43" s="779"/>
      <c r="G43" s="778"/>
      <c r="H43" s="778"/>
      <c r="I43" s="780"/>
    </row>
    <row r="44" spans="1:9" s="235" customFormat="1" ht="9.75">
      <c r="A44" s="746" t="s">
        <v>684</v>
      </c>
      <c r="B44" s="621"/>
      <c r="C44" s="621"/>
      <c r="D44" s="747"/>
      <c r="E44" s="752"/>
      <c r="F44" s="782"/>
      <c r="G44" s="753"/>
      <c r="H44" s="753"/>
      <c r="I44" s="755"/>
    </row>
    <row r="45" spans="1:9" s="235" customFormat="1" ht="9.75">
      <c r="A45" s="746" t="s">
        <v>685</v>
      </c>
      <c r="B45" s="621"/>
      <c r="C45" s="621"/>
      <c r="D45" s="747"/>
      <c r="E45" s="803">
        <v>0.017040000000000003</v>
      </c>
      <c r="F45" s="804">
        <v>0.01864</v>
      </c>
      <c r="G45" s="805">
        <v>0.01964</v>
      </c>
      <c r="H45" s="805">
        <v>0.02414</v>
      </c>
      <c r="I45" s="806">
        <v>0.03114</v>
      </c>
    </row>
    <row r="46" spans="1:9" s="235" customFormat="1" ht="10.5" thickBot="1">
      <c r="A46" s="807" t="str">
        <f>DAY($K$8)&amp;" de "&amp;TEXT($K$8,"mmmm aaaa")&amp;" (incluido) y el "&amp;DAY($K$2)&amp;" de "&amp;TEXT($K$2,"mmmm aaaa")&amp;" (excluido), es el:"</f>
        <v>20 de septiembre 2010 (incluido) y el 21 de junio 2010 (excluido), es el:</v>
      </c>
      <c r="B46" s="808"/>
      <c r="C46" s="808"/>
      <c r="D46" s="809"/>
      <c r="E46" s="810"/>
      <c r="F46" s="811"/>
      <c r="G46" s="812"/>
      <c r="H46" s="812"/>
      <c r="I46" s="813"/>
    </row>
    <row r="47" s="235" customFormat="1" ht="9.75"/>
    <row r="48" spans="8:9" s="235" customFormat="1" ht="9.75">
      <c r="H48" s="814"/>
      <c r="I48" s="814" t="s">
        <v>686</v>
      </c>
    </row>
    <row r="49" spans="1:9" s="235" customFormat="1" ht="12.75">
      <c r="A49" s="815" t="s">
        <v>687</v>
      </c>
      <c r="H49" s="814"/>
      <c r="I49" s="814" t="str">
        <f>"Madrid, "&amp;TEXT(K11,"dd mmmm aaaa")</f>
        <v>Madrid, 17 marzo 2009</v>
      </c>
    </row>
    <row r="50" spans="8:9" s="235" customFormat="1" ht="9.75">
      <c r="H50" s="814"/>
      <c r="I50" s="814" t="s">
        <v>688</v>
      </c>
    </row>
    <row r="51" spans="8:9" s="235" customFormat="1" ht="12.75" customHeight="1">
      <c r="H51" s="814"/>
      <c r="I51" s="814" t="s">
        <v>689</v>
      </c>
    </row>
    <row r="52" spans="8:9" s="235" customFormat="1" ht="9.75">
      <c r="H52" s="814"/>
      <c r="I52" s="814" t="s">
        <v>690</v>
      </c>
    </row>
    <row r="53" s="235" customFormat="1" ht="9.75">
      <c r="E53" s="81"/>
    </row>
    <row r="54" s="235" customFormat="1" ht="9.75">
      <c r="E54" s="81"/>
    </row>
    <row r="55" s="235" customFormat="1" ht="9.75">
      <c r="E55" s="81"/>
    </row>
    <row r="56" s="235" customFormat="1" ht="9.75"/>
    <row r="57" s="235" customFormat="1" ht="9.75"/>
    <row r="58" s="235" customFormat="1" ht="9.75"/>
    <row r="59" s="235" customFormat="1" ht="9.75"/>
    <row r="60" s="235" customFormat="1" ht="9.75"/>
    <row r="61" s="235" customFormat="1" ht="9.75"/>
    <row r="62" s="235" customFormat="1" ht="9.75"/>
    <row r="63" s="235" customFormat="1" ht="9.75"/>
    <row r="64" s="235" customFormat="1" ht="9.75"/>
    <row r="65" s="235" customFormat="1" ht="9.75"/>
    <row r="66" s="235" customFormat="1" ht="9.75"/>
    <row r="67" s="235" customFormat="1" ht="9.75"/>
    <row r="68" spans="4:8" s="235" customFormat="1" ht="9.75">
      <c r="D68" s="81"/>
      <c r="E68" s="81"/>
      <c r="F68" s="81"/>
      <c r="G68" s="81"/>
      <c r="H68" s="81"/>
    </row>
    <row r="69" s="235" customFormat="1" ht="9.75"/>
    <row r="70" spans="4:8" s="235" customFormat="1" ht="9.75">
      <c r="D70" s="81"/>
      <c r="E70" s="81"/>
      <c r="F70" s="81"/>
      <c r="G70" s="81"/>
      <c r="H70" s="81"/>
    </row>
    <row r="71" s="235" customFormat="1" ht="9.75"/>
    <row r="72" spans="4:8" s="235" customFormat="1" ht="9.75">
      <c r="D72" s="81"/>
      <c r="E72" s="81"/>
      <c r="F72" s="81"/>
      <c r="G72" s="81"/>
      <c r="H72" s="81"/>
    </row>
    <row r="73" s="235" customFormat="1" ht="9.75"/>
    <row r="74" s="235" customFormat="1" ht="9.75"/>
    <row r="75" s="235" customFormat="1" ht="9.75"/>
    <row r="76" s="235" customFormat="1" ht="9.75"/>
    <row r="77" s="235" customFormat="1" ht="9.7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="4" customFormat="1" ht="11.25"/>
    <row r="113" s="4" customFormat="1" ht="11.25"/>
    <row r="114" s="4" customFormat="1" ht="11.25"/>
    <row r="115" s="4" customFormat="1" ht="11.25"/>
    <row r="116" s="4" customFormat="1" ht="11.25"/>
    <row r="117" s="4" customFormat="1" ht="11.25"/>
    <row r="118" s="4" customFormat="1" ht="11.25"/>
    <row r="119" s="4" customFormat="1" ht="11.25"/>
    <row r="120" s="4" customFormat="1" ht="11.25"/>
    <row r="121" s="4" customFormat="1" ht="11.25"/>
    <row r="122" s="4" customFormat="1" ht="11.25"/>
    <row r="123" s="4" customFormat="1" ht="11.25"/>
    <row r="124" s="4" customFormat="1" ht="11.25"/>
    <row r="125" s="4" customFormat="1" ht="11.25"/>
    <row r="126" s="4" customFormat="1" ht="11.25"/>
    <row r="127" s="4" customFormat="1" ht="11.25"/>
    <row r="128" s="4" customFormat="1" ht="11.25"/>
    <row r="129" s="4" customFormat="1" ht="11.25"/>
    <row r="130" s="4" customFormat="1" ht="11.25"/>
    <row r="131" s="4" customFormat="1" ht="11.25"/>
    <row r="132" s="4" customFormat="1" ht="11.25"/>
    <row r="133" s="4" customFormat="1" ht="11.25"/>
    <row r="134" s="4" customFormat="1" ht="11.25"/>
    <row r="135" s="4" customFormat="1" ht="11.25"/>
    <row r="136" s="4" customFormat="1" ht="11.25"/>
    <row r="137" s="4" customFormat="1" ht="11.25"/>
    <row r="138" s="4" customFormat="1" ht="11.25"/>
    <row r="139" s="4" customFormat="1" ht="11.25"/>
    <row r="140" s="4" customFormat="1" ht="11.25"/>
    <row r="141" s="4" customFormat="1" ht="11.25"/>
    <row r="142" s="4" customFormat="1" ht="11.25"/>
    <row r="143" s="4" customFormat="1" ht="11.25"/>
    <row r="144" s="4" customFormat="1" ht="11.25"/>
    <row r="145" s="4" customFormat="1" ht="11.25"/>
    <row r="146" s="4" customFormat="1" ht="11.25"/>
    <row r="147" s="4" customFormat="1" ht="11.25"/>
    <row r="148" s="4" customFormat="1" ht="11.25"/>
    <row r="149" s="4" customFormat="1" ht="11.25"/>
    <row r="150" s="4" customFormat="1" ht="11.25"/>
    <row r="151" s="4" customFormat="1" ht="11.25"/>
    <row r="152" s="4" customFormat="1" ht="11.25"/>
    <row r="153" s="4" customFormat="1" ht="11.25"/>
    <row r="154" s="4" customFormat="1" ht="11.25"/>
    <row r="155" s="4" customFormat="1" ht="11.25"/>
    <row r="156" s="4" customFormat="1" ht="11.25"/>
    <row r="157" s="4" customFormat="1" ht="11.25"/>
    <row r="158" s="4" customFormat="1" ht="11.25"/>
    <row r="159" s="4" customFormat="1" ht="11.25"/>
    <row r="160" s="4" customFormat="1" ht="11.25"/>
    <row r="161" s="4" customFormat="1" ht="11.25"/>
    <row r="162" s="4" customFormat="1" ht="11.25"/>
    <row r="163" s="4" customFormat="1" ht="11.25"/>
    <row r="164" s="4" customFormat="1" ht="11.25"/>
    <row r="165" s="4" customFormat="1" ht="11.25"/>
    <row r="166" s="4" customFormat="1" ht="11.25"/>
    <row r="167" s="4" customFormat="1" ht="11.25"/>
    <row r="168" s="4" customFormat="1" ht="11.25"/>
    <row r="169" s="4" customFormat="1" ht="11.25"/>
    <row r="170" s="4" customFormat="1" ht="11.25"/>
    <row r="171" s="4" customFormat="1" ht="11.25"/>
    <row r="172" s="4" customFormat="1" ht="11.25"/>
    <row r="173" s="4" customFormat="1" ht="11.25"/>
    <row r="174" s="4" customFormat="1" ht="11.25"/>
    <row r="175" s="4" customFormat="1" ht="11.25"/>
    <row r="176" s="4" customFormat="1" ht="11.25"/>
    <row r="177" s="4" customFormat="1" ht="11.25"/>
    <row r="178" s="4" customFormat="1" ht="11.25"/>
    <row r="179" s="4" customFormat="1" ht="11.25"/>
    <row r="180" s="4" customFormat="1" ht="11.25"/>
    <row r="181" s="4" customFormat="1" ht="11.25"/>
    <row r="182" s="4" customFormat="1" ht="11.25"/>
    <row r="183" s="4" customFormat="1" ht="11.25"/>
    <row r="184" s="4" customFormat="1" ht="11.25"/>
    <row r="185" s="4" customFormat="1" ht="11.25"/>
    <row r="186" s="4" customFormat="1" ht="11.25"/>
    <row r="187" s="4" customFormat="1" ht="11.25"/>
    <row r="188" s="4" customFormat="1" ht="11.25"/>
    <row r="189" s="4" customFormat="1" ht="11.25"/>
    <row r="190" s="4" customFormat="1" ht="11.25"/>
    <row r="191" s="4" customFormat="1" ht="11.25"/>
    <row r="192" s="4" customFormat="1" ht="11.25"/>
    <row r="193" s="4" customFormat="1" ht="11.25"/>
    <row r="194" s="4" customFormat="1" ht="11.25"/>
    <row r="195" s="4" customFormat="1" ht="11.25"/>
    <row r="196" s="4" customFormat="1" ht="11.25"/>
    <row r="197" s="4" customFormat="1" ht="11.25"/>
    <row r="198" s="4" customFormat="1" ht="11.25"/>
    <row r="199" s="4" customFormat="1" ht="11.25"/>
    <row r="200" s="4" customFormat="1" ht="11.25"/>
    <row r="201" s="4" customFormat="1" ht="11.25"/>
    <row r="202" s="4" customFormat="1" ht="11.25"/>
    <row r="203" s="4" customFormat="1" ht="11.25"/>
    <row r="204" s="4" customFormat="1" ht="11.25"/>
    <row r="205" s="4" customFormat="1" ht="11.25"/>
    <row r="206" s="4" customFormat="1" ht="11.25"/>
    <row r="207" s="4" customFormat="1" ht="11.25"/>
    <row r="208" s="4" customFormat="1" ht="11.25"/>
    <row r="209" s="4" customFormat="1" ht="11.25"/>
    <row r="210" s="4" customFormat="1" ht="11.25"/>
    <row r="211" s="4" customFormat="1" ht="11.25"/>
    <row r="212" s="4" customFormat="1" ht="11.25"/>
    <row r="213" s="4" customFormat="1" ht="11.25"/>
    <row r="214" s="4" customFormat="1" ht="11.25"/>
    <row r="215" s="4" customFormat="1" ht="11.25"/>
    <row r="216" s="4" customFormat="1" ht="11.25"/>
    <row r="217" s="4" customFormat="1" ht="11.25"/>
    <row r="218" s="4" customFormat="1" ht="11.25"/>
    <row r="219" s="4" customFormat="1" ht="11.25"/>
    <row r="220" s="4" customFormat="1" ht="11.25"/>
    <row r="221" s="4" customFormat="1" ht="11.25"/>
  </sheetData>
  <mergeCells count="15">
    <mergeCell ref="E35:E36"/>
    <mergeCell ref="F35:F36"/>
    <mergeCell ref="G35:G36"/>
    <mergeCell ref="A14:D14"/>
    <mergeCell ref="E28:I29"/>
    <mergeCell ref="H35:H36"/>
    <mergeCell ref="I35:I36"/>
    <mergeCell ref="A11:I11"/>
    <mergeCell ref="A7:I7"/>
    <mergeCell ref="A8:I8"/>
    <mergeCell ref="A9:I9"/>
    <mergeCell ref="A12:I12"/>
    <mergeCell ref="A16:D16"/>
    <mergeCell ref="A17:D17"/>
    <mergeCell ref="E16:I17"/>
  </mergeCells>
  <hyperlinks>
    <hyperlink ref="A49" r:id="rId1" display="www.bancosantander.es"/>
  </hyperlinks>
  <printOptions horizontalCentered="1" verticalCentered="1"/>
  <pageMargins left="0.75" right="0.75" top="1" bottom="1" header="0" footer="0"/>
  <pageSetup fitToHeight="1" fitToWidth="1" horizontalDpi="600" verticalDpi="600" orientation="portrait" paperSize="46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4"/>
  <dimension ref="B1:K35"/>
  <sheetViews>
    <sheetView workbookViewId="0" topLeftCell="B1">
      <selection activeCell="L12" sqref="L12"/>
    </sheetView>
  </sheetViews>
  <sheetFormatPr defaultColWidth="11.421875" defaultRowHeight="12.75"/>
  <cols>
    <col min="1" max="1" width="5.421875" style="0" customWidth="1"/>
    <col min="6" max="6" width="12.140625" style="0" customWidth="1"/>
    <col min="7" max="11" width="14.7109375" style="0" customWidth="1"/>
  </cols>
  <sheetData>
    <row r="1" ht="12.75">
      <c r="J1" s="845">
        <f>Español!G14</f>
        <v>40350</v>
      </c>
    </row>
    <row r="6" spans="2:11" ht="15">
      <c r="B6" s="986" t="s">
        <v>1513</v>
      </c>
      <c r="C6" s="986"/>
      <c r="D6" s="986"/>
      <c r="E6" s="986"/>
      <c r="F6" s="986"/>
      <c r="G6" s="986"/>
      <c r="H6" s="986"/>
      <c r="I6" s="986"/>
      <c r="J6" s="986"/>
      <c r="K6" s="986"/>
    </row>
    <row r="9" spans="2:11" ht="12.75">
      <c r="B9" s="1265" t="s">
        <v>1514</v>
      </c>
      <c r="C9" s="1265"/>
      <c r="D9" s="1265"/>
      <c r="E9" s="1265"/>
      <c r="F9" s="1265"/>
      <c r="G9" s="1265"/>
      <c r="H9" s="1265"/>
      <c r="I9" s="1265"/>
      <c r="J9" s="1265"/>
      <c r="K9" s="1265"/>
    </row>
    <row r="10" spans="2:11" ht="12.75">
      <c r="B10" s="1265" t="s">
        <v>1515</v>
      </c>
      <c r="C10" s="1265"/>
      <c r="D10" s="1265"/>
      <c r="E10" s="1265"/>
      <c r="F10" s="1265"/>
      <c r="G10" s="1265"/>
      <c r="H10" s="1265"/>
      <c r="I10" s="1265"/>
      <c r="J10" s="1265"/>
      <c r="K10" s="1265"/>
    </row>
    <row r="11" spans="2:11" ht="12.75">
      <c r="B11" s="1265" t="s">
        <v>1516</v>
      </c>
      <c r="C11" s="1265"/>
      <c r="D11" s="1265"/>
      <c r="E11" s="1265"/>
      <c r="F11" s="1265"/>
      <c r="G11" s="1265"/>
      <c r="H11" s="1265"/>
      <c r="I11" s="1265"/>
      <c r="J11" s="1265"/>
      <c r="K11" s="1265"/>
    </row>
    <row r="12" spans="2:11" ht="12.75">
      <c r="B12" s="1265" t="s">
        <v>1517</v>
      </c>
      <c r="C12" s="1265"/>
      <c r="D12" s="1265"/>
      <c r="E12" s="1265"/>
      <c r="F12" s="1265"/>
      <c r="G12" s="1265"/>
      <c r="H12" s="1265"/>
      <c r="I12" s="1265"/>
      <c r="J12" s="1265"/>
      <c r="K12" s="1265"/>
    </row>
    <row r="14" ht="13.5" thickBot="1"/>
    <row r="15" spans="2:11" ht="12.75">
      <c r="B15" s="819" t="s">
        <v>1518</v>
      </c>
      <c r="C15" s="820"/>
      <c r="D15" s="820"/>
      <c r="E15" s="820"/>
      <c r="F15" s="821"/>
      <c r="G15" s="822" t="s">
        <v>1519</v>
      </c>
      <c r="H15" s="823" t="s">
        <v>1520</v>
      </c>
      <c r="I15" s="823" t="s">
        <v>1521</v>
      </c>
      <c r="J15" s="823" t="s">
        <v>1522</v>
      </c>
      <c r="K15" s="824" t="s">
        <v>1523</v>
      </c>
    </row>
    <row r="16" spans="2:11" ht="12.75">
      <c r="B16" s="264"/>
      <c r="C16" s="196"/>
      <c r="D16" s="196"/>
      <c r="E16" s="196"/>
      <c r="F16" s="825"/>
      <c r="G16" s="196"/>
      <c r="H16" s="196"/>
      <c r="I16" s="196"/>
      <c r="J16" s="196"/>
      <c r="K16" s="265"/>
    </row>
    <row r="17" spans="2:11" ht="12.75">
      <c r="B17" s="826" t="s">
        <v>1524</v>
      </c>
      <c r="C17" s="169"/>
      <c r="D17" s="169"/>
      <c r="E17" s="169"/>
      <c r="F17" s="827"/>
      <c r="G17" s="1257" t="s">
        <v>0</v>
      </c>
      <c r="H17" s="1257"/>
      <c r="I17" s="1257"/>
      <c r="J17" s="1257"/>
      <c r="K17" s="1258"/>
    </row>
    <row r="18" spans="2:11" ht="12.75">
      <c r="B18" s="264"/>
      <c r="C18" s="196"/>
      <c r="D18" s="196"/>
      <c r="E18" s="196"/>
      <c r="F18" s="825"/>
      <c r="G18" s="196"/>
      <c r="H18" s="196"/>
      <c r="I18" s="196"/>
      <c r="J18" s="196"/>
      <c r="K18" s="265"/>
    </row>
    <row r="19" spans="2:11" ht="12.75">
      <c r="B19" s="264" t="s">
        <v>1</v>
      </c>
      <c r="C19" s="196"/>
      <c r="D19" s="196"/>
      <c r="E19" s="196"/>
      <c r="F19" s="825"/>
      <c r="G19" s="1259" t="str">
        <f>"From "&amp;Inglés!G14&amp;" (included) to "&amp;Inglés!G18&amp;" (excluded)"</f>
        <v>From June  21th, 2010 (included) to September  20th, 2010 (excluded)</v>
      </c>
      <c r="H19" s="1259"/>
      <c r="I19" s="1259"/>
      <c r="J19" s="1259"/>
      <c r="K19" s="1260"/>
    </row>
    <row r="20" spans="2:11" ht="12.75">
      <c r="B20" s="828"/>
      <c r="C20" s="174"/>
      <c r="D20" s="174"/>
      <c r="E20" s="174"/>
      <c r="F20" s="829"/>
      <c r="G20" s="174"/>
      <c r="H20" s="174"/>
      <c r="I20" s="174"/>
      <c r="J20" s="174"/>
      <c r="K20" s="830"/>
    </row>
    <row r="21" spans="2:11" ht="12.75">
      <c r="B21" s="831" t="s">
        <v>2</v>
      </c>
      <c r="C21" s="196"/>
      <c r="D21" s="196"/>
      <c r="E21" s="196"/>
      <c r="F21" s="825"/>
      <c r="G21" s="1261"/>
      <c r="H21" s="1261"/>
      <c r="I21" s="1261"/>
      <c r="J21" s="1261"/>
      <c r="K21" s="1262"/>
    </row>
    <row r="22" spans="2:11" ht="12.75">
      <c r="B22" s="264" t="s">
        <v>3</v>
      </c>
      <c r="C22" s="196"/>
      <c r="D22" s="196"/>
      <c r="E22" s="196"/>
      <c r="F22" s="825"/>
      <c r="G22" s="1263">
        <f>Español!G17</f>
        <v>0.00729</v>
      </c>
      <c r="H22" s="1263"/>
      <c r="I22" s="1263"/>
      <c r="J22" s="1263"/>
      <c r="K22" s="1264"/>
    </row>
    <row r="23" spans="2:11" ht="12.75">
      <c r="B23" s="264" t="s">
        <v>4</v>
      </c>
      <c r="C23" s="196"/>
      <c r="D23" s="196"/>
      <c r="E23" s="196"/>
      <c r="F23" s="825"/>
      <c r="G23" s="196"/>
      <c r="H23" s="196"/>
      <c r="I23" s="196"/>
      <c r="J23" s="196"/>
      <c r="K23" s="265"/>
    </row>
    <row r="24" spans="2:11" ht="12.75">
      <c r="B24" s="828"/>
      <c r="C24" s="174"/>
      <c r="D24" s="174"/>
      <c r="E24" s="174"/>
      <c r="F24" s="829"/>
      <c r="G24" s="174"/>
      <c r="H24" s="174"/>
      <c r="I24" s="174"/>
      <c r="J24" s="174"/>
      <c r="K24" s="830"/>
    </row>
    <row r="25" spans="2:11" ht="12.75">
      <c r="B25" s="264" t="s">
        <v>5</v>
      </c>
      <c r="C25" s="196"/>
      <c r="D25" s="196"/>
      <c r="E25" s="196"/>
      <c r="F25" s="825"/>
      <c r="G25" s="832">
        <v>0.0009</v>
      </c>
      <c r="H25" s="833">
        <v>0.0025</v>
      </c>
      <c r="I25" s="833">
        <v>0.0035</v>
      </c>
      <c r="J25" s="833">
        <v>0.008</v>
      </c>
      <c r="K25" s="834">
        <v>0.015</v>
      </c>
    </row>
    <row r="26" spans="2:11" ht="12.75">
      <c r="B26" s="828"/>
      <c r="C26" s="174"/>
      <c r="D26" s="174"/>
      <c r="E26" s="174"/>
      <c r="F26" s="829"/>
      <c r="G26" s="835"/>
      <c r="H26" s="477"/>
      <c r="I26" s="477"/>
      <c r="J26" s="477"/>
      <c r="K26" s="836"/>
    </row>
    <row r="27" spans="2:11" ht="12.75">
      <c r="B27" s="692" t="s">
        <v>6</v>
      </c>
      <c r="C27" s="196"/>
      <c r="D27" s="196"/>
      <c r="E27" s="196"/>
      <c r="F27" s="825"/>
      <c r="G27" s="837">
        <f>+G25+$G$22</f>
        <v>0.00819</v>
      </c>
      <c r="H27" s="838">
        <f>+H25+$G$22</f>
        <v>0.00979</v>
      </c>
      <c r="I27" s="838">
        <f>+I25+$G$22</f>
        <v>0.01079</v>
      </c>
      <c r="J27" s="838">
        <f>+$G$22+J25</f>
        <v>0.01529</v>
      </c>
      <c r="K27" s="839">
        <f>+$G$22+K25</f>
        <v>0.022289999999999997</v>
      </c>
    </row>
    <row r="28" spans="2:11" ht="13.5" thickBot="1">
      <c r="B28" s="840"/>
      <c r="C28" s="519"/>
      <c r="D28" s="519"/>
      <c r="E28" s="519"/>
      <c r="F28" s="841"/>
      <c r="G28" s="842"/>
      <c r="H28" s="843"/>
      <c r="I28" s="843"/>
      <c r="J28" s="843"/>
      <c r="K28" s="844"/>
    </row>
    <row r="31" spans="8:11" ht="12.75">
      <c r="H31" s="235"/>
      <c r="I31" s="814" t="s">
        <v>686</v>
      </c>
      <c r="J31" s="814"/>
      <c r="K31" s="814"/>
    </row>
    <row r="32" spans="8:11" ht="12.75">
      <c r="H32" s="235"/>
      <c r="I32" s="814" t="str">
        <f>"Madrid, "&amp;G17</f>
        <v>Madrid, March 17th, 2009</v>
      </c>
      <c r="J32" s="814"/>
      <c r="K32" s="814"/>
    </row>
    <row r="33" spans="8:11" ht="12.75">
      <c r="H33" s="235"/>
      <c r="I33" s="814" t="s">
        <v>688</v>
      </c>
      <c r="J33" s="814"/>
      <c r="K33" s="814"/>
    </row>
    <row r="34" spans="8:11" ht="12.75">
      <c r="H34" s="235"/>
      <c r="I34" s="814" t="s">
        <v>689</v>
      </c>
      <c r="J34" s="814"/>
      <c r="K34" s="814"/>
    </row>
    <row r="35" spans="8:11" ht="12.75">
      <c r="H35" s="235"/>
      <c r="I35" s="814" t="s">
        <v>690</v>
      </c>
      <c r="J35" s="814"/>
      <c r="K35" s="814"/>
    </row>
  </sheetData>
  <mergeCells count="9">
    <mergeCell ref="B12:K12"/>
    <mergeCell ref="B6:K6"/>
    <mergeCell ref="B9:K9"/>
    <mergeCell ref="B10:K10"/>
    <mergeCell ref="B11:K11"/>
    <mergeCell ref="G17:K17"/>
    <mergeCell ref="G19:K19"/>
    <mergeCell ref="G21:K21"/>
    <mergeCell ref="G22:K22"/>
  </mergeCells>
  <printOptions horizontalCentered="1" verticalCentered="1"/>
  <pageMargins left="0.75" right="0.75" top="1" bottom="1" header="0" footer="0"/>
  <pageSetup horizontalDpi="600" verticalDpi="600" orientation="landscape" paperSize="9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7"/>
  <dimension ref="B3:G35"/>
  <sheetViews>
    <sheetView workbookViewId="0" topLeftCell="A1">
      <selection activeCell="F25" sqref="F25"/>
    </sheetView>
  </sheetViews>
  <sheetFormatPr defaultColWidth="11.421875" defaultRowHeight="12.75"/>
  <cols>
    <col min="1" max="1" width="6.421875" style="0" customWidth="1"/>
    <col min="2" max="2" width="4.421875" style="0" customWidth="1"/>
    <col min="6" max="6" width="24.8515625" style="0" customWidth="1"/>
    <col min="7" max="7" width="5.140625" style="0" customWidth="1"/>
  </cols>
  <sheetData>
    <row r="3" spans="2:7" ht="12.75">
      <c r="B3" s="412"/>
      <c r="C3" s="172"/>
      <c r="D3" s="172"/>
      <c r="E3" s="172"/>
      <c r="F3" s="172"/>
      <c r="G3" s="817"/>
    </row>
    <row r="4" spans="2:7" ht="12.75">
      <c r="B4" s="1266" t="s">
        <v>691</v>
      </c>
      <c r="C4" s="1267"/>
      <c r="D4" s="1267"/>
      <c r="E4" s="1267"/>
      <c r="F4" s="1267"/>
      <c r="G4" s="1268"/>
    </row>
    <row r="5" spans="2:7" ht="12.75">
      <c r="B5" s="415"/>
      <c r="C5" s="174"/>
      <c r="D5" s="174"/>
      <c r="E5" s="174"/>
      <c r="F5" s="174"/>
      <c r="G5" s="198"/>
    </row>
    <row r="6" spans="2:7" ht="12.75">
      <c r="B6" s="273"/>
      <c r="G6" s="817"/>
    </row>
    <row r="7" spans="2:7" ht="12.75">
      <c r="B7" s="273"/>
      <c r="C7" t="s">
        <v>692</v>
      </c>
      <c r="F7" s="79" t="s">
        <v>693</v>
      </c>
      <c r="G7" s="197"/>
    </row>
    <row r="8" spans="2:7" ht="12.75">
      <c r="B8" s="273"/>
      <c r="G8" s="197"/>
    </row>
    <row r="9" spans="2:7" ht="12.75">
      <c r="B9" s="273"/>
      <c r="G9" s="197"/>
    </row>
    <row r="10" spans="2:7" ht="12.75">
      <c r="B10" s="273"/>
      <c r="C10" t="s">
        <v>694</v>
      </c>
      <c r="F10" s="78" t="str">
        <f>'CNMV ESP'!A46</f>
        <v>ES0330866007</v>
      </c>
      <c r="G10" s="197"/>
    </row>
    <row r="11" spans="2:7" ht="12.75">
      <c r="B11" s="273"/>
      <c r="G11" s="197"/>
    </row>
    <row r="12" spans="2:7" ht="12.75">
      <c r="B12" s="273"/>
      <c r="G12" s="197"/>
    </row>
    <row r="13" spans="2:7" ht="12.75">
      <c r="B13" s="273"/>
      <c r="C13" t="s">
        <v>695</v>
      </c>
      <c r="F13" s="818">
        <f>Español!G14</f>
        <v>40350</v>
      </c>
      <c r="G13" s="197"/>
    </row>
    <row r="14" spans="2:7" ht="12.75">
      <c r="B14" s="273"/>
      <c r="G14" s="197"/>
    </row>
    <row r="15" spans="2:7" ht="12.75">
      <c r="B15" s="273"/>
      <c r="G15" s="197"/>
    </row>
    <row r="16" spans="2:7" ht="12.75">
      <c r="B16" s="273"/>
      <c r="C16" t="s">
        <v>696</v>
      </c>
      <c r="F16" s="365">
        <f>'Fecha de pago'!L71</f>
        <v>0.00734</v>
      </c>
      <c r="G16" s="197"/>
    </row>
    <row r="17" spans="2:7" ht="12.75">
      <c r="B17" s="273"/>
      <c r="G17" s="197"/>
    </row>
    <row r="18" spans="2:7" ht="12.75">
      <c r="B18" s="273"/>
      <c r="G18" s="197"/>
    </row>
    <row r="19" spans="2:7" ht="12.75">
      <c r="B19" s="273"/>
      <c r="C19" t="s">
        <v>697</v>
      </c>
      <c r="F19" s="78">
        <f>PCUP!E19</f>
        <v>0</v>
      </c>
      <c r="G19" s="197"/>
    </row>
    <row r="20" spans="2:7" ht="12.75">
      <c r="B20" s="273"/>
      <c r="F20" s="48"/>
      <c r="G20" s="197"/>
    </row>
    <row r="21" spans="2:7" ht="12.75">
      <c r="B21" s="273"/>
      <c r="F21" s="48"/>
      <c r="G21" s="197"/>
    </row>
    <row r="22" spans="2:7" ht="12.75">
      <c r="B22" s="273"/>
      <c r="C22" t="s">
        <v>698</v>
      </c>
      <c r="F22" s="78">
        <f>PCUP!E23</f>
        <v>0</v>
      </c>
      <c r="G22" s="197"/>
    </row>
    <row r="23" spans="2:7" ht="12.75">
      <c r="B23" s="273"/>
      <c r="F23" s="48"/>
      <c r="G23" s="197"/>
    </row>
    <row r="24" spans="2:7" ht="12.75">
      <c r="B24" s="273"/>
      <c r="F24" s="48"/>
      <c r="G24" s="197"/>
    </row>
    <row r="25" spans="2:7" ht="12.75">
      <c r="B25" s="273"/>
      <c r="C25" t="s">
        <v>699</v>
      </c>
      <c r="F25" s="78">
        <f>PCUP!E26</f>
        <v>0</v>
      </c>
      <c r="G25" s="197"/>
    </row>
    <row r="26" spans="2:7" ht="12.75">
      <c r="B26" s="273"/>
      <c r="C26" t="s">
        <v>1173</v>
      </c>
      <c r="F26" s="48"/>
      <c r="G26" s="197"/>
    </row>
    <row r="27" spans="2:7" ht="12.75">
      <c r="B27" s="273"/>
      <c r="F27" s="48"/>
      <c r="G27" s="197"/>
    </row>
    <row r="28" spans="2:7" ht="12.75">
      <c r="B28" s="273"/>
      <c r="F28" s="48"/>
      <c r="G28" s="197"/>
    </row>
    <row r="29" spans="2:7" ht="12.75">
      <c r="B29" s="273"/>
      <c r="C29" t="s">
        <v>700</v>
      </c>
      <c r="F29" s="78"/>
      <c r="G29" s="197"/>
    </row>
    <row r="30" spans="2:7" ht="12.75">
      <c r="B30" s="273"/>
      <c r="G30" s="197"/>
    </row>
    <row r="31" spans="2:7" ht="12.75">
      <c r="B31" s="273"/>
      <c r="G31" s="197"/>
    </row>
    <row r="32" spans="2:7" ht="12.75">
      <c r="B32" s="273"/>
      <c r="C32" t="s">
        <v>701</v>
      </c>
      <c r="G32" s="197"/>
    </row>
    <row r="33" spans="2:7" ht="12.75">
      <c r="B33" s="273"/>
      <c r="C33" s="412"/>
      <c r="D33" s="172"/>
      <c r="E33" s="172"/>
      <c r="F33" s="817"/>
      <c r="G33" s="197"/>
    </row>
    <row r="34" spans="2:7" ht="12.75">
      <c r="B34" s="273"/>
      <c r="C34" s="415"/>
      <c r="D34" s="174"/>
      <c r="E34" s="174"/>
      <c r="F34" s="198"/>
      <c r="G34" s="197"/>
    </row>
    <row r="35" spans="2:7" ht="12.75">
      <c r="B35" s="415"/>
      <c r="C35" s="174"/>
      <c r="D35" s="174"/>
      <c r="E35" s="174"/>
      <c r="F35" s="174"/>
      <c r="G35" s="198"/>
    </row>
  </sheetData>
  <mergeCells count="1">
    <mergeCell ref="B4:G4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8"/>
  <dimension ref="B3:G35"/>
  <sheetViews>
    <sheetView workbookViewId="0" topLeftCell="A1">
      <selection activeCell="F25" sqref="F25"/>
    </sheetView>
  </sheetViews>
  <sheetFormatPr defaultColWidth="11.421875" defaultRowHeight="12.75"/>
  <cols>
    <col min="1" max="1" width="6.421875" style="0" customWidth="1"/>
    <col min="2" max="2" width="4.421875" style="0" customWidth="1"/>
    <col min="6" max="6" width="24.8515625" style="0" customWidth="1"/>
    <col min="7" max="7" width="5.140625" style="0" customWidth="1"/>
  </cols>
  <sheetData>
    <row r="3" spans="2:7" ht="12.75">
      <c r="B3" s="412"/>
      <c r="C3" s="172"/>
      <c r="D3" s="172"/>
      <c r="E3" s="172"/>
      <c r="F3" s="172"/>
      <c r="G3" s="817"/>
    </row>
    <row r="4" spans="2:7" ht="12.75">
      <c r="B4" s="1266" t="s">
        <v>691</v>
      </c>
      <c r="C4" s="1267"/>
      <c r="D4" s="1267"/>
      <c r="E4" s="1267"/>
      <c r="F4" s="1267"/>
      <c r="G4" s="1268"/>
    </row>
    <row r="5" spans="2:7" ht="12.75">
      <c r="B5" s="415"/>
      <c r="C5" s="174"/>
      <c r="D5" s="174"/>
      <c r="E5" s="174"/>
      <c r="F5" s="174"/>
      <c r="G5" s="198"/>
    </row>
    <row r="6" spans="2:7" ht="12.75">
      <c r="B6" s="273"/>
      <c r="G6" s="817"/>
    </row>
    <row r="7" spans="2:7" ht="12.75">
      <c r="B7" s="273"/>
      <c r="C7" t="s">
        <v>692</v>
      </c>
      <c r="F7" s="79" t="s">
        <v>693</v>
      </c>
      <c r="G7" s="197"/>
    </row>
    <row r="8" spans="2:7" ht="12.75">
      <c r="B8" s="273"/>
      <c r="G8" s="197"/>
    </row>
    <row r="9" spans="2:7" ht="12.75">
      <c r="B9" s="273"/>
      <c r="G9" s="197"/>
    </row>
    <row r="10" spans="2:7" ht="12.75">
      <c r="B10" s="273"/>
      <c r="C10" t="s">
        <v>694</v>
      </c>
      <c r="F10" s="78" t="str">
        <f>'CNMV ESP'!A48</f>
        <v>ES0330866015</v>
      </c>
      <c r="G10" s="197"/>
    </row>
    <row r="11" spans="2:7" ht="12.75">
      <c r="B11" s="273"/>
      <c r="G11" s="197"/>
    </row>
    <row r="12" spans="2:7" ht="12.75">
      <c r="B12" s="273"/>
      <c r="G12" s="197"/>
    </row>
    <row r="13" spans="2:7" ht="12.75">
      <c r="B13" s="273"/>
      <c r="C13" t="s">
        <v>695</v>
      </c>
      <c r="F13" s="818">
        <f>'Modelo K13 Serie A1'!F13</f>
        <v>40350</v>
      </c>
      <c r="G13" s="197"/>
    </row>
    <row r="14" spans="2:7" ht="12.75">
      <c r="B14" s="273"/>
      <c r="G14" s="197"/>
    </row>
    <row r="15" spans="2:7" ht="12.75">
      <c r="B15" s="273"/>
      <c r="G15" s="197"/>
    </row>
    <row r="16" spans="2:7" ht="12.75">
      <c r="B16" s="273"/>
      <c r="C16" t="s">
        <v>696</v>
      </c>
      <c r="F16" s="365">
        <f>'Fecha de pago'!L72</f>
        <v>0.00894</v>
      </c>
      <c r="G16" s="197"/>
    </row>
    <row r="17" spans="2:7" ht="12.75">
      <c r="B17" s="273"/>
      <c r="G17" s="197"/>
    </row>
    <row r="18" spans="2:7" ht="12.75">
      <c r="B18" s="273"/>
      <c r="G18" s="197"/>
    </row>
    <row r="19" spans="2:7" ht="12.75">
      <c r="B19" s="273"/>
      <c r="C19" t="s">
        <v>697</v>
      </c>
      <c r="F19" s="78">
        <f>PCUP!F19</f>
        <v>139.66</v>
      </c>
      <c r="G19" s="197"/>
    </row>
    <row r="20" spans="2:7" ht="12.75">
      <c r="B20" s="273"/>
      <c r="F20" s="48"/>
      <c r="G20" s="197"/>
    </row>
    <row r="21" spans="2:7" ht="12.75">
      <c r="B21" s="273"/>
      <c r="F21" s="48"/>
      <c r="G21" s="197"/>
    </row>
    <row r="22" spans="2:7" ht="12.75">
      <c r="B22" s="273"/>
      <c r="C22" t="s">
        <v>698</v>
      </c>
      <c r="F22" s="78">
        <f>PCUP!F23</f>
        <v>113.12</v>
      </c>
      <c r="G22" s="197"/>
    </row>
    <row r="23" spans="2:7" ht="12.75">
      <c r="B23" s="273"/>
      <c r="F23" s="48"/>
      <c r="G23" s="197"/>
    </row>
    <row r="24" spans="2:7" ht="12.75">
      <c r="B24" s="273"/>
      <c r="F24" s="48"/>
      <c r="G24" s="197"/>
    </row>
    <row r="25" spans="2:7" ht="12.75">
      <c r="B25" s="273"/>
      <c r="C25" t="s">
        <v>699</v>
      </c>
      <c r="F25" s="78">
        <f>PCUP!F26</f>
        <v>10133.71</v>
      </c>
      <c r="G25" s="197"/>
    </row>
    <row r="26" spans="2:7" ht="12.75">
      <c r="B26" s="273"/>
      <c r="C26" t="s">
        <v>1173</v>
      </c>
      <c r="F26" s="48"/>
      <c r="G26" s="197"/>
    </row>
    <row r="27" spans="2:7" ht="12.75">
      <c r="B27" s="273"/>
      <c r="F27" s="48"/>
      <c r="G27" s="197"/>
    </row>
    <row r="28" spans="2:7" ht="12.75">
      <c r="B28" s="273"/>
      <c r="F28" s="48"/>
      <c r="G28" s="197"/>
    </row>
    <row r="29" spans="2:7" ht="12.75">
      <c r="B29" s="273"/>
      <c r="C29" t="s">
        <v>700</v>
      </c>
      <c r="F29" s="78"/>
      <c r="G29" s="197"/>
    </row>
    <row r="30" spans="2:7" ht="12.75">
      <c r="B30" s="273"/>
      <c r="G30" s="197"/>
    </row>
    <row r="31" spans="2:7" ht="12.75">
      <c r="B31" s="273"/>
      <c r="G31" s="197"/>
    </row>
    <row r="32" spans="2:7" ht="12.75">
      <c r="B32" s="273"/>
      <c r="C32" t="s">
        <v>701</v>
      </c>
      <c r="G32" s="197"/>
    </row>
    <row r="33" spans="2:7" ht="12.75">
      <c r="B33" s="273"/>
      <c r="C33" s="412"/>
      <c r="D33" s="172"/>
      <c r="E33" s="172"/>
      <c r="F33" s="817"/>
      <c r="G33" s="197"/>
    </row>
    <row r="34" spans="2:7" ht="12.75">
      <c r="B34" s="273"/>
      <c r="C34" s="415"/>
      <c r="D34" s="174"/>
      <c r="E34" s="174"/>
      <c r="F34" s="198"/>
      <c r="G34" s="197"/>
    </row>
    <row r="35" spans="2:7" ht="12.75">
      <c r="B35" s="415"/>
      <c r="C35" s="174"/>
      <c r="D35" s="174"/>
      <c r="E35" s="174"/>
      <c r="F35" s="174"/>
      <c r="G35" s="198"/>
    </row>
  </sheetData>
  <mergeCells count="1">
    <mergeCell ref="B4:G4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9"/>
  <dimension ref="B3:G35"/>
  <sheetViews>
    <sheetView workbookViewId="0" topLeftCell="A1">
      <selection activeCell="F26" sqref="F26"/>
    </sheetView>
  </sheetViews>
  <sheetFormatPr defaultColWidth="11.421875" defaultRowHeight="12.75"/>
  <cols>
    <col min="1" max="1" width="6.421875" style="0" customWidth="1"/>
    <col min="2" max="2" width="4.421875" style="0" customWidth="1"/>
    <col min="6" max="6" width="24.8515625" style="0" customWidth="1"/>
    <col min="7" max="7" width="5.140625" style="0" customWidth="1"/>
  </cols>
  <sheetData>
    <row r="3" spans="2:7" ht="12.75">
      <c r="B3" s="412"/>
      <c r="C3" s="172"/>
      <c r="D3" s="172"/>
      <c r="E3" s="172"/>
      <c r="F3" s="172"/>
      <c r="G3" s="817"/>
    </row>
    <row r="4" spans="2:7" ht="12.75">
      <c r="B4" s="1266" t="s">
        <v>691</v>
      </c>
      <c r="C4" s="1267"/>
      <c r="D4" s="1267"/>
      <c r="E4" s="1267"/>
      <c r="F4" s="1267"/>
      <c r="G4" s="1268"/>
    </row>
    <row r="5" spans="2:7" ht="12.75">
      <c r="B5" s="415"/>
      <c r="C5" s="174"/>
      <c r="D5" s="174"/>
      <c r="E5" s="174"/>
      <c r="F5" s="174"/>
      <c r="G5" s="198"/>
    </row>
    <row r="6" spans="2:7" ht="12.75">
      <c r="B6" s="273"/>
      <c r="G6" s="817"/>
    </row>
    <row r="7" spans="2:7" ht="12.75">
      <c r="B7" s="273"/>
      <c r="C7" t="s">
        <v>692</v>
      </c>
      <c r="F7" s="79" t="s">
        <v>693</v>
      </c>
      <c r="G7" s="197"/>
    </row>
    <row r="8" spans="2:7" ht="12.75">
      <c r="B8" s="273"/>
      <c r="G8" s="197"/>
    </row>
    <row r="9" spans="2:7" ht="12.75">
      <c r="B9" s="273"/>
      <c r="G9" s="197"/>
    </row>
    <row r="10" spans="2:7" ht="12.75">
      <c r="B10" s="273"/>
      <c r="C10" t="s">
        <v>694</v>
      </c>
      <c r="F10" s="78" t="str">
        <f>'CNMV ESP'!A50</f>
        <v>ES0330866023</v>
      </c>
      <c r="G10" s="197"/>
    </row>
    <row r="11" spans="2:7" ht="12.75">
      <c r="B11" s="273"/>
      <c r="G11" s="197"/>
    </row>
    <row r="12" spans="2:7" ht="12.75">
      <c r="B12" s="273"/>
      <c r="G12" s="197"/>
    </row>
    <row r="13" spans="2:7" ht="12.75">
      <c r="B13" s="273"/>
      <c r="C13" t="s">
        <v>695</v>
      </c>
      <c r="F13" s="818">
        <f>'Modelo K13 Serie A2'!F13</f>
        <v>40350</v>
      </c>
      <c r="G13" s="197"/>
    </row>
    <row r="14" spans="2:7" ht="12.75">
      <c r="B14" s="273"/>
      <c r="G14" s="197"/>
    </row>
    <row r="15" spans="2:7" ht="12.75">
      <c r="B15" s="273"/>
      <c r="G15" s="197"/>
    </row>
    <row r="16" spans="2:7" ht="12.75">
      <c r="B16" s="273"/>
      <c r="C16" t="s">
        <v>696</v>
      </c>
      <c r="F16" s="365">
        <f>'Fecha de pago'!L73</f>
        <v>0.009940000000000001</v>
      </c>
      <c r="G16" s="197"/>
    </row>
    <row r="17" spans="2:7" ht="12.75">
      <c r="B17" s="273"/>
      <c r="G17" s="197"/>
    </row>
    <row r="18" spans="2:7" ht="12.75">
      <c r="B18" s="273"/>
      <c r="G18" s="197"/>
    </row>
    <row r="19" spans="2:7" ht="12.75">
      <c r="B19" s="273"/>
      <c r="C19" t="s">
        <v>697</v>
      </c>
      <c r="F19" s="78">
        <f>PCUP!G19</f>
        <v>251.26</v>
      </c>
      <c r="G19" s="197"/>
    </row>
    <row r="20" spans="2:7" ht="12.75">
      <c r="B20" s="273"/>
      <c r="F20" s="48"/>
      <c r="G20" s="197"/>
    </row>
    <row r="21" spans="2:7" ht="12.75">
      <c r="B21" s="273"/>
      <c r="F21" s="48"/>
      <c r="G21" s="197"/>
    </row>
    <row r="22" spans="2:7" ht="12.75">
      <c r="B22" s="273"/>
      <c r="C22" t="s">
        <v>698</v>
      </c>
      <c r="F22" s="78">
        <f>PCUP!G23</f>
        <v>203.51999999999998</v>
      </c>
      <c r="G22" s="197"/>
    </row>
    <row r="23" spans="2:7" ht="12.75">
      <c r="B23" s="273"/>
      <c r="F23" s="48"/>
      <c r="G23" s="197"/>
    </row>
    <row r="24" spans="2:7" ht="12.75">
      <c r="B24" s="273"/>
      <c r="F24" s="48"/>
      <c r="G24" s="197"/>
    </row>
    <row r="25" spans="2:7" ht="12.75">
      <c r="B25" s="273"/>
      <c r="C25" t="s">
        <v>699</v>
      </c>
      <c r="F25" s="78">
        <f>PCUP!G26</f>
        <v>0</v>
      </c>
      <c r="G25" s="197"/>
    </row>
    <row r="26" spans="2:7" ht="12.75">
      <c r="B26" s="273"/>
      <c r="C26" t="s">
        <v>1173</v>
      </c>
      <c r="F26" s="48"/>
      <c r="G26" s="197"/>
    </row>
    <row r="27" spans="2:7" ht="12.75">
      <c r="B27" s="273"/>
      <c r="F27" s="48"/>
      <c r="G27" s="197"/>
    </row>
    <row r="28" spans="2:7" ht="12.75">
      <c r="B28" s="273"/>
      <c r="F28" s="48"/>
      <c r="G28" s="197"/>
    </row>
    <row r="29" spans="2:7" ht="12.75">
      <c r="B29" s="273"/>
      <c r="C29" t="s">
        <v>700</v>
      </c>
      <c r="F29" s="78"/>
      <c r="G29" s="197"/>
    </row>
    <row r="30" spans="2:7" ht="12.75">
      <c r="B30" s="273"/>
      <c r="G30" s="197"/>
    </row>
    <row r="31" spans="2:7" ht="12.75">
      <c r="B31" s="273"/>
      <c r="G31" s="197"/>
    </row>
    <row r="32" spans="2:7" ht="12.75">
      <c r="B32" s="273"/>
      <c r="C32" t="s">
        <v>701</v>
      </c>
      <c r="G32" s="197"/>
    </row>
    <row r="33" spans="2:7" ht="12.75">
      <c r="B33" s="273"/>
      <c r="C33" s="412"/>
      <c r="D33" s="172"/>
      <c r="E33" s="172"/>
      <c r="F33" s="817"/>
      <c r="G33" s="197"/>
    </row>
    <row r="34" spans="2:7" ht="12.75">
      <c r="B34" s="273"/>
      <c r="C34" s="415"/>
      <c r="D34" s="174"/>
      <c r="E34" s="174"/>
      <c r="F34" s="198"/>
      <c r="G34" s="197"/>
    </row>
    <row r="35" spans="2:7" ht="12.75">
      <c r="B35" s="415"/>
      <c r="C35" s="174"/>
      <c r="D35" s="174"/>
      <c r="E35" s="174"/>
      <c r="F35" s="174"/>
      <c r="G35" s="198"/>
    </row>
  </sheetData>
  <mergeCells count="1">
    <mergeCell ref="B4:G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A16:H48"/>
  <sheetViews>
    <sheetView view="pageBreakPreview" zoomScale="60" workbookViewId="0" topLeftCell="A1">
      <selection activeCell="O29" sqref="O29"/>
    </sheetView>
  </sheetViews>
  <sheetFormatPr defaultColWidth="11.421875" defaultRowHeight="12.75"/>
  <sheetData>
    <row r="16" ht="21">
      <c r="A16" s="449" t="s">
        <v>1152</v>
      </c>
    </row>
    <row r="42" spans="1:8" ht="15">
      <c r="A42" s="986" t="s">
        <v>1207</v>
      </c>
      <c r="B42" s="986"/>
      <c r="C42" s="986"/>
      <c r="D42" s="986"/>
      <c r="E42" s="986"/>
      <c r="F42" s="986"/>
      <c r="G42" s="986"/>
      <c r="H42" s="986"/>
    </row>
    <row r="43" spans="1:8" ht="15">
      <c r="A43" s="986" t="s">
        <v>1208</v>
      </c>
      <c r="B43" s="986"/>
      <c r="C43" s="986"/>
      <c r="D43" s="986"/>
      <c r="E43" s="986"/>
      <c r="F43" s="986"/>
      <c r="G43" s="986"/>
      <c r="H43" s="986"/>
    </row>
    <row r="44" spans="1:8" ht="15">
      <c r="A44" s="986" t="s">
        <v>1209</v>
      </c>
      <c r="B44" s="986"/>
      <c r="C44" s="986"/>
      <c r="D44" s="986"/>
      <c r="E44" s="986"/>
      <c r="F44" s="986"/>
      <c r="G44" s="986"/>
      <c r="H44" s="986"/>
    </row>
    <row r="45" spans="1:8" ht="15">
      <c r="A45" s="986" t="s">
        <v>1210</v>
      </c>
      <c r="B45" s="986"/>
      <c r="C45" s="986"/>
      <c r="D45" s="986"/>
      <c r="E45" s="986"/>
      <c r="F45" s="986"/>
      <c r="G45" s="986"/>
      <c r="H45" s="986"/>
    </row>
    <row r="46" spans="1:8" ht="15">
      <c r="A46" s="986" t="s">
        <v>1211</v>
      </c>
      <c r="B46" s="986"/>
      <c r="C46" s="986"/>
      <c r="D46" s="986"/>
      <c r="E46" s="986"/>
      <c r="F46" s="986"/>
      <c r="G46" s="986"/>
      <c r="H46" s="986"/>
    </row>
    <row r="47" spans="1:8" ht="15">
      <c r="A47" s="987" t="s">
        <v>1212</v>
      </c>
      <c r="B47" s="987"/>
      <c r="C47" s="987"/>
      <c r="D47" s="987"/>
      <c r="E47" s="987"/>
      <c r="F47" s="987"/>
      <c r="G47" s="987"/>
      <c r="H47" s="987"/>
    </row>
    <row r="48" spans="1:8" ht="15">
      <c r="A48" s="986" t="s">
        <v>1012</v>
      </c>
      <c r="B48" s="986"/>
      <c r="C48" s="986"/>
      <c r="D48" s="986"/>
      <c r="E48" s="986"/>
      <c r="F48" s="986"/>
      <c r="G48" s="986"/>
      <c r="H48" s="986"/>
    </row>
  </sheetData>
  <mergeCells count="7">
    <mergeCell ref="A46:H46"/>
    <mergeCell ref="A47:H47"/>
    <mergeCell ref="A48:H48"/>
    <mergeCell ref="A42:H42"/>
    <mergeCell ref="A43:H43"/>
    <mergeCell ref="A44:H44"/>
    <mergeCell ref="A45:H45"/>
  </mergeCells>
  <hyperlinks>
    <hyperlink ref="A47" r:id="rId1" display="jumgarcia@gruposantander.com"/>
  </hyperlinks>
  <printOptions/>
  <pageMargins left="0.75" right="0.75" top="1" bottom="1" header="0" footer="0"/>
  <pageSetup horizontalDpi="600" verticalDpi="600" orientation="portrait" paperSize="9" scale="94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/>
  <dimension ref="B3:G35"/>
  <sheetViews>
    <sheetView workbookViewId="0" topLeftCell="A1">
      <selection activeCell="F26" sqref="F26"/>
    </sheetView>
  </sheetViews>
  <sheetFormatPr defaultColWidth="11.421875" defaultRowHeight="12.75"/>
  <cols>
    <col min="1" max="1" width="6.421875" style="0" customWidth="1"/>
    <col min="2" max="2" width="4.421875" style="0" customWidth="1"/>
    <col min="6" max="6" width="24.8515625" style="0" customWidth="1"/>
    <col min="7" max="7" width="5.140625" style="0" customWidth="1"/>
  </cols>
  <sheetData>
    <row r="3" spans="2:7" ht="12.75">
      <c r="B3" s="412"/>
      <c r="C3" s="172"/>
      <c r="D3" s="172"/>
      <c r="E3" s="172"/>
      <c r="F3" s="172"/>
      <c r="G3" s="817"/>
    </row>
    <row r="4" spans="2:7" ht="12.75">
      <c r="B4" s="1266" t="s">
        <v>691</v>
      </c>
      <c r="C4" s="1267"/>
      <c r="D4" s="1267"/>
      <c r="E4" s="1267"/>
      <c r="F4" s="1267"/>
      <c r="G4" s="1268"/>
    </row>
    <row r="5" spans="2:7" ht="12.75">
      <c r="B5" s="415"/>
      <c r="C5" s="174"/>
      <c r="D5" s="174"/>
      <c r="E5" s="174"/>
      <c r="F5" s="174"/>
      <c r="G5" s="198"/>
    </row>
    <row r="6" spans="2:7" ht="12.75">
      <c r="B6" s="273"/>
      <c r="G6" s="817"/>
    </row>
    <row r="7" spans="2:7" ht="12.75">
      <c r="B7" s="273"/>
      <c r="C7" t="s">
        <v>692</v>
      </c>
      <c r="F7" s="79" t="s">
        <v>693</v>
      </c>
      <c r="G7" s="197"/>
    </row>
    <row r="8" spans="2:7" ht="12.75">
      <c r="B8" s="273"/>
      <c r="G8" s="197"/>
    </row>
    <row r="9" spans="2:7" ht="12.75">
      <c r="B9" s="273"/>
      <c r="G9" s="197"/>
    </row>
    <row r="10" spans="2:7" ht="12.75">
      <c r="B10" s="273"/>
      <c r="C10" t="s">
        <v>694</v>
      </c>
      <c r="F10" s="78" t="str">
        <f>'CNMV ESP'!A52</f>
        <v>ES0330866031</v>
      </c>
      <c r="G10" s="197"/>
    </row>
    <row r="11" spans="2:7" ht="12.75">
      <c r="B11" s="273"/>
      <c r="G11" s="197"/>
    </row>
    <row r="12" spans="2:7" ht="12.75">
      <c r="B12" s="273"/>
      <c r="G12" s="197"/>
    </row>
    <row r="13" spans="2:7" ht="12.75">
      <c r="B13" s="273"/>
      <c r="C13" t="s">
        <v>695</v>
      </c>
      <c r="F13" s="818">
        <f>'Modelo K13 Serie B'!F13</f>
        <v>40350</v>
      </c>
      <c r="G13" s="197"/>
    </row>
    <row r="14" spans="2:7" ht="12.75">
      <c r="B14" s="273"/>
      <c r="G14" s="197"/>
    </row>
    <row r="15" spans="2:7" ht="12.75">
      <c r="B15" s="273"/>
      <c r="G15" s="197"/>
    </row>
    <row r="16" spans="2:7" ht="12.75">
      <c r="B16" s="273"/>
      <c r="C16" t="s">
        <v>696</v>
      </c>
      <c r="F16" s="365">
        <f>'Fecha de pago'!L74</f>
        <v>0.014440000000000001</v>
      </c>
      <c r="G16" s="197"/>
    </row>
    <row r="17" spans="2:7" ht="12.75">
      <c r="B17" s="273"/>
      <c r="G17" s="197"/>
    </row>
    <row r="18" spans="2:7" ht="12.75">
      <c r="B18" s="273"/>
      <c r="G18" s="197"/>
    </row>
    <row r="19" spans="2:7" ht="12.75">
      <c r="B19" s="273"/>
      <c r="C19" t="s">
        <v>697</v>
      </c>
      <c r="F19" s="78">
        <f>PCUP!H19</f>
        <v>365.01</v>
      </c>
      <c r="G19" s="197"/>
    </row>
    <row r="20" spans="2:7" ht="12.75">
      <c r="B20" s="273"/>
      <c r="F20" s="48"/>
      <c r="G20" s="197"/>
    </row>
    <row r="21" spans="2:7" ht="12.75">
      <c r="B21" s="273"/>
      <c r="F21" s="48"/>
      <c r="G21" s="197"/>
    </row>
    <row r="22" spans="2:7" ht="12.75">
      <c r="B22" s="273"/>
      <c r="C22" t="s">
        <v>698</v>
      </c>
      <c r="F22" s="78">
        <f>PCUP!H23</f>
        <v>295.65999999999997</v>
      </c>
      <c r="G22" s="197"/>
    </row>
    <row r="23" spans="2:7" ht="12.75">
      <c r="B23" s="273"/>
      <c r="F23" s="48"/>
      <c r="G23" s="197"/>
    </row>
    <row r="24" spans="2:7" ht="12.75">
      <c r="B24" s="273"/>
      <c r="F24" s="48"/>
      <c r="G24" s="197"/>
    </row>
    <row r="25" spans="2:7" ht="12.75">
      <c r="B25" s="273"/>
      <c r="C25" t="s">
        <v>699</v>
      </c>
      <c r="F25" s="78">
        <f>PCUP!H26</f>
        <v>0</v>
      </c>
      <c r="G25" s="197"/>
    </row>
    <row r="26" spans="2:7" ht="12.75">
      <c r="B26" s="273"/>
      <c r="C26" t="s">
        <v>1173</v>
      </c>
      <c r="F26" s="48"/>
      <c r="G26" s="197"/>
    </row>
    <row r="27" spans="2:7" ht="12.75">
      <c r="B27" s="273"/>
      <c r="F27" s="48"/>
      <c r="G27" s="197"/>
    </row>
    <row r="28" spans="2:7" ht="12.75">
      <c r="B28" s="273"/>
      <c r="F28" s="48"/>
      <c r="G28" s="197"/>
    </row>
    <row r="29" spans="2:7" ht="12.75">
      <c r="B29" s="273"/>
      <c r="C29" t="s">
        <v>700</v>
      </c>
      <c r="F29" s="78"/>
      <c r="G29" s="197"/>
    </row>
    <row r="30" spans="2:7" ht="12.75">
      <c r="B30" s="273"/>
      <c r="G30" s="197"/>
    </row>
    <row r="31" spans="2:7" ht="12.75">
      <c r="B31" s="273"/>
      <c r="G31" s="197"/>
    </row>
    <row r="32" spans="2:7" ht="12.75">
      <c r="B32" s="273"/>
      <c r="C32" t="s">
        <v>701</v>
      </c>
      <c r="G32" s="197"/>
    </row>
    <row r="33" spans="2:7" ht="12.75">
      <c r="B33" s="273"/>
      <c r="C33" s="412"/>
      <c r="D33" s="172"/>
      <c r="E33" s="172"/>
      <c r="F33" s="817"/>
      <c r="G33" s="197"/>
    </row>
    <row r="34" spans="2:7" ht="12.75">
      <c r="B34" s="273"/>
      <c r="C34" s="415"/>
      <c r="D34" s="174"/>
      <c r="E34" s="174"/>
      <c r="F34" s="198"/>
      <c r="G34" s="197"/>
    </row>
    <row r="35" spans="2:7" ht="12.75">
      <c r="B35" s="415"/>
      <c r="C35" s="174"/>
      <c r="D35" s="174"/>
      <c r="E35" s="174"/>
      <c r="F35" s="174"/>
      <c r="G35" s="198"/>
    </row>
  </sheetData>
  <mergeCells count="1">
    <mergeCell ref="B4:G4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3"/>
  <dimension ref="B3:G35"/>
  <sheetViews>
    <sheetView workbookViewId="0" topLeftCell="A1">
      <selection activeCell="F26" sqref="F26"/>
    </sheetView>
  </sheetViews>
  <sheetFormatPr defaultColWidth="11.421875" defaultRowHeight="12.75"/>
  <cols>
    <col min="1" max="1" width="6.421875" style="0" customWidth="1"/>
    <col min="2" max="2" width="4.421875" style="0" customWidth="1"/>
    <col min="6" max="6" width="24.8515625" style="0" customWidth="1"/>
    <col min="7" max="7" width="5.140625" style="0" customWidth="1"/>
  </cols>
  <sheetData>
    <row r="3" spans="2:7" ht="12.75">
      <c r="B3" s="412"/>
      <c r="C3" s="172"/>
      <c r="D3" s="172"/>
      <c r="E3" s="172"/>
      <c r="F3" s="172"/>
      <c r="G3" s="817"/>
    </row>
    <row r="4" spans="2:7" ht="12.75">
      <c r="B4" s="1266" t="s">
        <v>691</v>
      </c>
      <c r="C4" s="1267"/>
      <c r="D4" s="1267"/>
      <c r="E4" s="1267"/>
      <c r="F4" s="1267"/>
      <c r="G4" s="1268"/>
    </row>
    <row r="5" spans="2:7" ht="12.75">
      <c r="B5" s="415"/>
      <c r="C5" s="174"/>
      <c r="D5" s="174"/>
      <c r="E5" s="174"/>
      <c r="F5" s="174"/>
      <c r="G5" s="198"/>
    </row>
    <row r="6" spans="2:7" ht="12.75">
      <c r="B6" s="273"/>
      <c r="G6" s="817"/>
    </row>
    <row r="7" spans="2:7" ht="12.75">
      <c r="B7" s="273"/>
      <c r="C7" t="s">
        <v>692</v>
      </c>
      <c r="F7" s="79" t="s">
        <v>693</v>
      </c>
      <c r="G7" s="197"/>
    </row>
    <row r="8" spans="2:7" ht="12.75">
      <c r="B8" s="273"/>
      <c r="G8" s="197"/>
    </row>
    <row r="9" spans="2:7" ht="12.75">
      <c r="B9" s="273"/>
      <c r="G9" s="197"/>
    </row>
    <row r="10" spans="2:7" ht="12.75">
      <c r="B10" s="273"/>
      <c r="C10" t="s">
        <v>694</v>
      </c>
      <c r="F10" s="78" t="str">
        <f>'CNMV ESP'!A54</f>
        <v>ES0330866049</v>
      </c>
      <c r="G10" s="197"/>
    </row>
    <row r="11" spans="2:7" ht="12.75">
      <c r="B11" s="273"/>
      <c r="G11" s="197"/>
    </row>
    <row r="12" spans="2:7" ht="12.75">
      <c r="B12" s="273"/>
      <c r="G12" s="197"/>
    </row>
    <row r="13" spans="2:7" ht="12.75">
      <c r="B13" s="273"/>
      <c r="C13" t="s">
        <v>695</v>
      </c>
      <c r="F13" s="818">
        <f>'Modelo K13 Serie C'!F13</f>
        <v>40350</v>
      </c>
      <c r="G13" s="197"/>
    </row>
    <row r="14" spans="2:7" ht="12.75">
      <c r="B14" s="273"/>
      <c r="G14" s="197"/>
    </row>
    <row r="15" spans="2:7" ht="12.75">
      <c r="B15" s="273"/>
      <c r="G15" s="197"/>
    </row>
    <row r="16" spans="2:7" ht="12.75">
      <c r="B16" s="273"/>
      <c r="C16" t="s">
        <v>696</v>
      </c>
      <c r="F16" s="365">
        <f>'Fecha de pago'!L75</f>
        <v>0.02144</v>
      </c>
      <c r="G16" s="197"/>
    </row>
    <row r="17" spans="2:7" ht="12.75">
      <c r="B17" s="273"/>
      <c r="G17" s="197"/>
    </row>
    <row r="18" spans="2:7" ht="12.75">
      <c r="B18" s="273"/>
      <c r="G18" s="197"/>
    </row>
    <row r="19" spans="2:7" ht="12.75">
      <c r="B19" s="273"/>
      <c r="C19" t="s">
        <v>697</v>
      </c>
      <c r="F19" s="78">
        <f>PCUP!I19</f>
        <v>541.96</v>
      </c>
      <c r="G19" s="197"/>
    </row>
    <row r="20" spans="2:7" ht="12.75">
      <c r="B20" s="273"/>
      <c r="F20" s="48"/>
      <c r="G20" s="197"/>
    </row>
    <row r="21" spans="2:7" ht="12.75">
      <c r="B21" s="273"/>
      <c r="F21" s="48"/>
      <c r="G21" s="197"/>
    </row>
    <row r="22" spans="2:7" ht="12.75">
      <c r="B22" s="273"/>
      <c r="C22" t="s">
        <v>698</v>
      </c>
      <c r="F22" s="78">
        <f>PCUP!I23</f>
        <v>438.99</v>
      </c>
      <c r="G22" s="197"/>
    </row>
    <row r="23" spans="2:7" ht="12.75">
      <c r="B23" s="273"/>
      <c r="F23" s="48"/>
      <c r="G23" s="197"/>
    </row>
    <row r="24" spans="2:7" ht="12.75">
      <c r="B24" s="273"/>
      <c r="F24" s="48"/>
      <c r="G24" s="197"/>
    </row>
    <row r="25" spans="2:7" ht="12.75">
      <c r="B25" s="273"/>
      <c r="C25" t="s">
        <v>699</v>
      </c>
      <c r="F25" s="78">
        <f>PCUP!I26</f>
        <v>0</v>
      </c>
      <c r="G25" s="197"/>
    </row>
    <row r="26" spans="2:7" ht="12.75">
      <c r="B26" s="273"/>
      <c r="C26" t="s">
        <v>1173</v>
      </c>
      <c r="F26" s="48"/>
      <c r="G26" s="197"/>
    </row>
    <row r="27" spans="2:7" ht="12.75">
      <c r="B27" s="273"/>
      <c r="F27" s="48"/>
      <c r="G27" s="197"/>
    </row>
    <row r="28" spans="2:7" ht="12.75">
      <c r="B28" s="273"/>
      <c r="F28" s="48"/>
      <c r="G28" s="197"/>
    </row>
    <row r="29" spans="2:7" ht="12.75">
      <c r="B29" s="273"/>
      <c r="C29" t="s">
        <v>700</v>
      </c>
      <c r="F29" s="78"/>
      <c r="G29" s="197"/>
    </row>
    <row r="30" spans="2:7" ht="12.75">
      <c r="B30" s="273"/>
      <c r="G30" s="197"/>
    </row>
    <row r="31" spans="2:7" ht="12.75">
      <c r="B31" s="273"/>
      <c r="G31" s="197"/>
    </row>
    <row r="32" spans="2:7" ht="12.75">
      <c r="B32" s="273"/>
      <c r="C32" t="s">
        <v>701</v>
      </c>
      <c r="G32" s="197"/>
    </row>
    <row r="33" spans="2:7" ht="12.75">
      <c r="B33" s="273"/>
      <c r="C33" s="412"/>
      <c r="D33" s="172"/>
      <c r="E33" s="172"/>
      <c r="F33" s="817"/>
      <c r="G33" s="197"/>
    </row>
    <row r="34" spans="2:7" ht="12.75">
      <c r="B34" s="273"/>
      <c r="C34" s="415"/>
      <c r="D34" s="174"/>
      <c r="E34" s="174"/>
      <c r="F34" s="198"/>
      <c r="G34" s="197"/>
    </row>
    <row r="35" spans="2:7" ht="12.75">
      <c r="B35" s="415"/>
      <c r="C35" s="174"/>
      <c r="D35" s="174"/>
      <c r="E35" s="174"/>
      <c r="F35" s="174"/>
      <c r="G35" s="198"/>
    </row>
  </sheetData>
  <mergeCells count="1">
    <mergeCell ref="B4:G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"/>
  <dimension ref="A1:I369"/>
  <sheetViews>
    <sheetView workbookViewId="0" topLeftCell="B1">
      <pane ySplit="8" topLeftCell="BM9" activePane="bottomLeft" state="frozen"/>
      <selection pane="topLeft" activeCell="A1" sqref="A1"/>
      <selection pane="bottomLeft" activeCell="E28" sqref="E28"/>
    </sheetView>
  </sheetViews>
  <sheetFormatPr defaultColWidth="11.421875" defaultRowHeight="12.75"/>
  <cols>
    <col min="2" max="2" width="27.140625" style="0" bestFit="1" customWidth="1"/>
    <col min="5" max="5" width="13.57421875" style="0" bestFit="1" customWidth="1"/>
    <col min="8" max="8" width="13.57421875" style="0" bestFit="1" customWidth="1"/>
  </cols>
  <sheetData>
    <row r="1" spans="1:9" ht="13.5">
      <c r="A1" s="131"/>
      <c r="C1" s="231" t="s">
        <v>112</v>
      </c>
      <c r="D1" s="48"/>
      <c r="E1" s="48"/>
      <c r="F1" s="48"/>
      <c r="G1" s="48"/>
      <c r="H1" s="48"/>
      <c r="I1" s="48"/>
    </row>
    <row r="2" spans="1:9" ht="12.75">
      <c r="A2" s="232" t="s">
        <v>113</v>
      </c>
      <c r="C2" s="231"/>
      <c r="D2" s="48"/>
      <c r="E2" s="48"/>
      <c r="F2" s="48"/>
      <c r="G2" s="48"/>
      <c r="H2" s="48"/>
      <c r="I2" s="48"/>
    </row>
    <row r="3" spans="3:9" ht="12.75">
      <c r="C3" s="231" t="s">
        <v>223</v>
      </c>
      <c r="D3" s="48"/>
      <c r="E3" s="48"/>
      <c r="F3" s="48"/>
      <c r="G3" s="48"/>
      <c r="H3" s="48"/>
      <c r="I3" s="48"/>
    </row>
    <row r="4" spans="3:9" ht="12.75">
      <c r="C4" s="231" t="s">
        <v>224</v>
      </c>
      <c r="D4" s="48"/>
      <c r="E4" s="48"/>
      <c r="F4" s="48"/>
      <c r="G4" s="48"/>
      <c r="H4" s="48"/>
      <c r="I4" s="48"/>
    </row>
    <row r="8" spans="1:9" ht="12.75">
      <c r="A8" s="233" t="s">
        <v>114</v>
      </c>
      <c r="B8" s="233" t="s">
        <v>115</v>
      </c>
      <c r="C8" s="234" t="s">
        <v>116</v>
      </c>
      <c r="D8" s="234" t="s">
        <v>117</v>
      </c>
      <c r="E8" s="234" t="s">
        <v>118</v>
      </c>
      <c r="F8" s="234" t="s">
        <v>119</v>
      </c>
      <c r="G8" s="234" t="s">
        <v>120</v>
      </c>
      <c r="H8" s="234" t="s">
        <v>121</v>
      </c>
      <c r="I8" s="234"/>
    </row>
    <row r="10" spans="1:9" ht="12.75">
      <c r="A10" s="235" t="s">
        <v>377</v>
      </c>
      <c r="B10" s="235" t="s">
        <v>378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</row>
    <row r="11" spans="1:9" ht="12.75">
      <c r="A11" s="235" t="s">
        <v>379</v>
      </c>
      <c r="B11" s="235" t="s">
        <v>378</v>
      </c>
      <c r="C11" s="81">
        <v>647157148.47</v>
      </c>
      <c r="D11" s="81">
        <v>94797134.88</v>
      </c>
      <c r="E11" s="81">
        <v>552360013.59</v>
      </c>
      <c r="F11" s="81">
        <v>647157148.47</v>
      </c>
      <c r="G11" s="81">
        <v>94797134.88</v>
      </c>
      <c r="H11" s="81">
        <v>552360013.59</v>
      </c>
      <c r="I11" s="81">
        <v>0</v>
      </c>
    </row>
    <row r="12" spans="1:9" ht="12.75">
      <c r="A12" t="s">
        <v>380</v>
      </c>
      <c r="B12" s="236" t="s">
        <v>378</v>
      </c>
      <c r="C12" s="237">
        <v>647157148.47</v>
      </c>
      <c r="D12" s="237">
        <v>94797134.88</v>
      </c>
      <c r="E12" s="237">
        <v>552360013.59</v>
      </c>
      <c r="F12" s="237">
        <v>647157148.47</v>
      </c>
      <c r="G12" s="237">
        <v>94797134.88</v>
      </c>
      <c r="H12" s="237">
        <v>552360013.59</v>
      </c>
      <c r="I12" s="237">
        <v>0</v>
      </c>
    </row>
    <row r="14" spans="1:9" ht="12.75">
      <c r="A14" t="s">
        <v>381</v>
      </c>
      <c r="B14" s="235" t="s">
        <v>382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</row>
    <row r="15" spans="1:9" ht="12.75">
      <c r="A15" t="s">
        <v>383</v>
      </c>
      <c r="B15" s="235" t="s">
        <v>382</v>
      </c>
      <c r="C15" s="81">
        <v>94797134.88</v>
      </c>
      <c r="D15" s="81">
        <v>646831108.54</v>
      </c>
      <c r="E15" s="81">
        <v>-552033973.66</v>
      </c>
      <c r="F15" s="81">
        <v>94797134.88</v>
      </c>
      <c r="G15" s="81">
        <v>646831108.54</v>
      </c>
      <c r="H15" s="81">
        <v>-552033973.66</v>
      </c>
      <c r="I15" s="81">
        <v>0</v>
      </c>
    </row>
    <row r="16" spans="1:9" ht="12.75">
      <c r="A16" t="s">
        <v>1362</v>
      </c>
      <c r="B16" s="235" t="s">
        <v>1363</v>
      </c>
      <c r="C16" s="81">
        <v>0</v>
      </c>
      <c r="D16" s="81">
        <v>326039.93</v>
      </c>
      <c r="E16" s="81">
        <v>-326039.93</v>
      </c>
      <c r="F16" s="81">
        <v>0</v>
      </c>
      <c r="G16" s="81">
        <v>326039.93</v>
      </c>
      <c r="H16" s="81">
        <v>-326039.93</v>
      </c>
      <c r="I16" s="81">
        <v>0</v>
      </c>
    </row>
    <row r="17" spans="1:9" ht="12.75">
      <c r="A17" t="s">
        <v>384</v>
      </c>
      <c r="B17" s="236" t="s">
        <v>382</v>
      </c>
      <c r="C17" s="237">
        <v>94797134.88</v>
      </c>
      <c r="D17" s="237">
        <v>647157148.47</v>
      </c>
      <c r="E17" s="237">
        <v>-552360013.59</v>
      </c>
      <c r="F17" s="237">
        <v>94797134.88</v>
      </c>
      <c r="G17" s="237">
        <v>647157148.47</v>
      </c>
      <c r="H17" s="237">
        <v>-552360013.59</v>
      </c>
      <c r="I17" s="237">
        <v>0</v>
      </c>
    </row>
    <row r="19" spans="1:9" ht="12.75">
      <c r="A19" t="s">
        <v>1073</v>
      </c>
      <c r="B19" s="235" t="s">
        <v>1074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</row>
    <row r="20" spans="1:9" ht="12.75">
      <c r="A20" t="s">
        <v>1075</v>
      </c>
      <c r="B20" s="236" t="s">
        <v>488</v>
      </c>
      <c r="C20" s="237">
        <v>0</v>
      </c>
      <c r="D20" s="237">
        <v>0</v>
      </c>
      <c r="E20" s="237">
        <v>0</v>
      </c>
      <c r="F20" s="237">
        <v>0</v>
      </c>
      <c r="G20" s="237">
        <v>0</v>
      </c>
      <c r="H20" s="237">
        <v>0</v>
      </c>
      <c r="I20" s="237">
        <v>0</v>
      </c>
    </row>
    <row r="22" spans="1:9" ht="12.75">
      <c r="A22" t="s">
        <v>122</v>
      </c>
      <c r="B22" s="235" t="s">
        <v>385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</row>
    <row r="23" spans="1:9" ht="12.75">
      <c r="A23" t="s">
        <v>123</v>
      </c>
      <c r="B23" s="235" t="s">
        <v>505</v>
      </c>
      <c r="C23" s="81">
        <v>0</v>
      </c>
      <c r="D23" s="81">
        <v>38000000</v>
      </c>
      <c r="E23" s="81">
        <v>-38000000</v>
      </c>
      <c r="F23" s="81">
        <v>0</v>
      </c>
      <c r="G23" s="81">
        <v>38000000</v>
      </c>
      <c r="H23" s="81">
        <v>-38000000</v>
      </c>
      <c r="I23" s="81">
        <v>0</v>
      </c>
    </row>
    <row r="24" spans="1:9" ht="12.75">
      <c r="A24" t="s">
        <v>1364</v>
      </c>
      <c r="B24" s="235" t="s">
        <v>1365</v>
      </c>
      <c r="C24" s="81">
        <v>12362857.06</v>
      </c>
      <c r="D24" s="81">
        <v>0</v>
      </c>
      <c r="E24" s="81">
        <v>12362857.06</v>
      </c>
      <c r="F24" s="81">
        <v>12362857.06</v>
      </c>
      <c r="G24" s="81">
        <v>0</v>
      </c>
      <c r="H24" s="81">
        <v>12362857.06</v>
      </c>
      <c r="I24" s="81">
        <v>0</v>
      </c>
    </row>
    <row r="25" spans="1:9" ht="12.75">
      <c r="A25" t="s">
        <v>127</v>
      </c>
      <c r="B25" s="235" t="s">
        <v>506</v>
      </c>
      <c r="C25" s="81">
        <v>0</v>
      </c>
      <c r="D25" s="81">
        <v>508804.75</v>
      </c>
      <c r="E25" s="81">
        <v>-508804.75</v>
      </c>
      <c r="F25" s="81">
        <v>0</v>
      </c>
      <c r="G25" s="81">
        <v>508804.75</v>
      </c>
      <c r="H25" s="81">
        <v>-508804.75</v>
      </c>
      <c r="I25" s="81">
        <v>0</v>
      </c>
    </row>
    <row r="26" spans="1:9" ht="12.75">
      <c r="A26" t="s">
        <v>1366</v>
      </c>
      <c r="B26" s="235" t="s">
        <v>1365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</row>
    <row r="27" spans="1:9" ht="12.75">
      <c r="A27" t="s">
        <v>129</v>
      </c>
      <c r="B27" s="236" t="s">
        <v>385</v>
      </c>
      <c r="C27" s="237">
        <v>12362857.06</v>
      </c>
      <c r="D27" s="237">
        <v>38508804.75</v>
      </c>
      <c r="E27" s="237">
        <v>-26145947.69</v>
      </c>
      <c r="F27" s="237">
        <v>12362857.06</v>
      </c>
      <c r="G27" s="237">
        <v>38508804.75</v>
      </c>
      <c r="H27" s="237">
        <v>-26145947.69</v>
      </c>
      <c r="I27" s="237">
        <v>0</v>
      </c>
    </row>
    <row r="29" spans="1:9" ht="12.75">
      <c r="A29" t="s">
        <v>1076</v>
      </c>
      <c r="B29" s="235" t="s">
        <v>1077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</row>
    <row r="30" spans="1:9" ht="12.75">
      <c r="A30" t="s">
        <v>1078</v>
      </c>
      <c r="B30" s="235" t="s">
        <v>1077</v>
      </c>
      <c r="C30" s="81">
        <v>20040112.12</v>
      </c>
      <c r="D30" s="81">
        <v>20040112.12</v>
      </c>
      <c r="E30" s="81">
        <v>0</v>
      </c>
      <c r="F30" s="81">
        <v>20040112.12</v>
      </c>
      <c r="G30" s="81">
        <v>20040112.12</v>
      </c>
      <c r="H30" s="81">
        <v>0</v>
      </c>
      <c r="I30" s="81">
        <v>0</v>
      </c>
    </row>
    <row r="31" spans="1:9" ht="12.75">
      <c r="A31" t="s">
        <v>1079</v>
      </c>
      <c r="B31" s="236" t="s">
        <v>1077</v>
      </c>
      <c r="C31" s="237">
        <v>20040112.12</v>
      </c>
      <c r="D31" s="237">
        <v>20040112.12</v>
      </c>
      <c r="E31" s="237">
        <v>0</v>
      </c>
      <c r="F31" s="237">
        <v>20040112.12</v>
      </c>
      <c r="G31" s="237">
        <v>20040112.12</v>
      </c>
      <c r="H31" s="237">
        <v>0</v>
      </c>
      <c r="I31" s="237">
        <v>0</v>
      </c>
    </row>
    <row r="33" spans="1:9" ht="12.75">
      <c r="A33" t="s">
        <v>130</v>
      </c>
      <c r="B33" s="235" t="s">
        <v>507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</row>
    <row r="34" spans="1:9" ht="12.75">
      <c r="A34" t="s">
        <v>131</v>
      </c>
      <c r="B34" s="235" t="s">
        <v>508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</row>
    <row r="35" spans="1:9" ht="12.75">
      <c r="A35" t="s">
        <v>1367</v>
      </c>
      <c r="B35" s="235" t="s">
        <v>1368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</row>
    <row r="36" spans="1:9" ht="12.75">
      <c r="A36" t="s">
        <v>132</v>
      </c>
      <c r="B36" s="235" t="s">
        <v>509</v>
      </c>
      <c r="C36" s="81">
        <v>158029520</v>
      </c>
      <c r="D36" s="81">
        <v>581853360</v>
      </c>
      <c r="E36" s="81">
        <v>-423823840</v>
      </c>
      <c r="F36" s="81">
        <v>158029520</v>
      </c>
      <c r="G36" s="81">
        <v>581853360</v>
      </c>
      <c r="H36" s="81">
        <v>-423823840</v>
      </c>
      <c r="I36" s="81">
        <v>0</v>
      </c>
    </row>
    <row r="37" spans="1:9" ht="12.75">
      <c r="A37" t="s">
        <v>1369</v>
      </c>
      <c r="B37" s="235" t="s">
        <v>1370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</row>
    <row r="38" spans="1:9" ht="12.75">
      <c r="A38" t="s">
        <v>133</v>
      </c>
      <c r="B38" s="235" t="s">
        <v>510</v>
      </c>
      <c r="C38" s="81">
        <v>0</v>
      </c>
      <c r="D38" s="81">
        <v>70000000</v>
      </c>
      <c r="E38" s="81">
        <v>-70000000</v>
      </c>
      <c r="F38" s="81">
        <v>0</v>
      </c>
      <c r="G38" s="81">
        <v>70000000</v>
      </c>
      <c r="H38" s="81">
        <v>-70000000</v>
      </c>
      <c r="I38" s="81">
        <v>0</v>
      </c>
    </row>
    <row r="39" spans="1:9" ht="12.75">
      <c r="A39" t="s">
        <v>1371</v>
      </c>
      <c r="B39" s="235" t="s">
        <v>1372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</row>
    <row r="40" spans="1:9" ht="12.75">
      <c r="A40" t="s">
        <v>134</v>
      </c>
      <c r="B40" s="235" t="s">
        <v>511</v>
      </c>
      <c r="C40" s="81">
        <v>0</v>
      </c>
      <c r="D40" s="81">
        <v>35000000</v>
      </c>
      <c r="E40" s="81">
        <v>-35000000</v>
      </c>
      <c r="F40" s="81">
        <v>0</v>
      </c>
      <c r="G40" s="81">
        <v>35000000</v>
      </c>
      <c r="H40" s="81">
        <v>-35000000</v>
      </c>
      <c r="I40" s="81">
        <v>0</v>
      </c>
    </row>
    <row r="41" spans="1:9" ht="12.75">
      <c r="A41" t="s">
        <v>1373</v>
      </c>
      <c r="B41" s="235" t="s">
        <v>1374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</row>
    <row r="42" spans="1:9" ht="12.75">
      <c r="A42" t="s">
        <v>135</v>
      </c>
      <c r="B42" s="235" t="s">
        <v>512</v>
      </c>
      <c r="C42" s="81">
        <v>0</v>
      </c>
      <c r="D42" s="81">
        <v>35000000</v>
      </c>
      <c r="E42" s="81">
        <v>-35000000</v>
      </c>
      <c r="F42" s="81">
        <v>0</v>
      </c>
      <c r="G42" s="81">
        <v>35000000</v>
      </c>
      <c r="H42" s="81">
        <v>-35000000</v>
      </c>
      <c r="I42" s="81">
        <v>0</v>
      </c>
    </row>
    <row r="43" spans="1:9" ht="12.75">
      <c r="A43" t="s">
        <v>1375</v>
      </c>
      <c r="B43" s="235" t="s">
        <v>1376</v>
      </c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</row>
    <row r="44" spans="1:9" ht="12.75">
      <c r="A44" t="s">
        <v>136</v>
      </c>
      <c r="B44" s="236" t="s">
        <v>507</v>
      </c>
      <c r="C44" s="237">
        <v>158029520</v>
      </c>
      <c r="D44" s="237">
        <v>721853360</v>
      </c>
      <c r="E44" s="237">
        <v>-563823840</v>
      </c>
      <c r="F44" s="237">
        <v>158029520</v>
      </c>
      <c r="G44" s="237">
        <v>721853360</v>
      </c>
      <c r="H44" s="237">
        <v>-563823840</v>
      </c>
      <c r="I44" s="237">
        <v>0</v>
      </c>
    </row>
    <row r="46" spans="1:9" ht="12.75">
      <c r="A46" t="s">
        <v>137</v>
      </c>
      <c r="B46" s="235" t="s">
        <v>138</v>
      </c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</row>
    <row r="47" spans="1:9" ht="12.75">
      <c r="A47" t="s">
        <v>139</v>
      </c>
      <c r="B47" s="235" t="s">
        <v>140</v>
      </c>
      <c r="C47" s="81">
        <v>262043.79</v>
      </c>
      <c r="D47" s="81">
        <v>132116.8</v>
      </c>
      <c r="E47" s="81">
        <v>129926.99</v>
      </c>
      <c r="F47" s="81">
        <v>262043.79</v>
      </c>
      <c r="G47" s="81">
        <v>132116.8</v>
      </c>
      <c r="H47" s="81">
        <v>129926.99</v>
      </c>
      <c r="I47" s="81">
        <v>0</v>
      </c>
    </row>
    <row r="48" spans="1:9" ht="12.75">
      <c r="A48" t="s">
        <v>141</v>
      </c>
      <c r="B48" s="235" t="s">
        <v>138</v>
      </c>
      <c r="C48" s="81">
        <v>49133.21</v>
      </c>
      <c r="D48" s="81">
        <v>24771.9</v>
      </c>
      <c r="E48" s="81">
        <v>24361.31</v>
      </c>
      <c r="F48" s="81">
        <v>49133.21</v>
      </c>
      <c r="G48" s="81">
        <v>24771.9</v>
      </c>
      <c r="H48" s="81">
        <v>24361.31</v>
      </c>
      <c r="I48" s="81">
        <v>0</v>
      </c>
    </row>
    <row r="49" spans="1:9" ht="12.75">
      <c r="A49" t="s">
        <v>142</v>
      </c>
      <c r="B49" s="236" t="s">
        <v>138</v>
      </c>
      <c r="C49" s="237">
        <v>311177</v>
      </c>
      <c r="D49" s="237">
        <v>156888.7</v>
      </c>
      <c r="E49" s="237">
        <v>154288.3</v>
      </c>
      <c r="F49" s="237">
        <v>311177</v>
      </c>
      <c r="G49" s="237">
        <v>156888.7</v>
      </c>
      <c r="H49" s="237">
        <v>154288.3</v>
      </c>
      <c r="I49" s="237">
        <v>0</v>
      </c>
    </row>
    <row r="51" spans="1:9" ht="12.75">
      <c r="A51" t="s">
        <v>143</v>
      </c>
      <c r="B51" s="235" t="s">
        <v>513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</row>
    <row r="52" spans="1:9" ht="12.75">
      <c r="A52" t="s">
        <v>144</v>
      </c>
      <c r="B52" s="235" t="s">
        <v>513</v>
      </c>
      <c r="C52" s="81">
        <v>688775714.81</v>
      </c>
      <c r="D52" s="81">
        <v>0</v>
      </c>
      <c r="E52" s="81">
        <v>688775714.81</v>
      </c>
      <c r="F52" s="81">
        <v>688775714.81</v>
      </c>
      <c r="G52" s="81">
        <v>0</v>
      </c>
      <c r="H52" s="81">
        <v>688775714.81</v>
      </c>
      <c r="I52" s="81">
        <v>0</v>
      </c>
    </row>
    <row r="53" spans="1:9" ht="12.75">
      <c r="A53" t="s">
        <v>145</v>
      </c>
      <c r="B53" s="235" t="s">
        <v>514</v>
      </c>
      <c r="C53" s="81">
        <v>3996218.7</v>
      </c>
      <c r="D53" s="81">
        <v>11237102.43</v>
      </c>
      <c r="E53" s="81">
        <v>-7240883.73</v>
      </c>
      <c r="F53" s="81">
        <v>3996218.7</v>
      </c>
      <c r="G53" s="81">
        <v>11237102.43</v>
      </c>
      <c r="H53" s="81">
        <v>-7240883.73</v>
      </c>
      <c r="I53" s="81">
        <v>0</v>
      </c>
    </row>
    <row r="54" spans="1:9" ht="12.75">
      <c r="A54" t="s">
        <v>515</v>
      </c>
      <c r="B54" s="235" t="s">
        <v>516</v>
      </c>
      <c r="C54" s="81">
        <v>0</v>
      </c>
      <c r="D54" s="81">
        <v>27453590.82</v>
      </c>
      <c r="E54" s="81">
        <v>-27453590.82</v>
      </c>
      <c r="F54" s="81">
        <v>0</v>
      </c>
      <c r="G54" s="81">
        <v>27453590.82</v>
      </c>
      <c r="H54" s="81">
        <v>-27453590.82</v>
      </c>
      <c r="I54" s="81">
        <v>0</v>
      </c>
    </row>
    <row r="55" spans="1:9" ht="12.75">
      <c r="A55" t="s">
        <v>517</v>
      </c>
      <c r="B55" s="235" t="s">
        <v>518</v>
      </c>
      <c r="C55" s="81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</row>
    <row r="56" spans="1:9" ht="12.75">
      <c r="A56" t="s">
        <v>146</v>
      </c>
      <c r="B56" s="235" t="s">
        <v>147</v>
      </c>
      <c r="C56" s="81">
        <v>0</v>
      </c>
      <c r="D56" s="81">
        <v>37848953.15</v>
      </c>
      <c r="E56" s="81">
        <v>-37848953.15</v>
      </c>
      <c r="F56" s="81">
        <v>0</v>
      </c>
      <c r="G56" s="81">
        <v>37848953.15</v>
      </c>
      <c r="H56" s="81">
        <v>-37848953.15</v>
      </c>
      <c r="I56" s="81">
        <v>0</v>
      </c>
    </row>
    <row r="57" spans="1:9" ht="12.75">
      <c r="A57" t="s">
        <v>148</v>
      </c>
      <c r="B57" s="235" t="s">
        <v>149</v>
      </c>
      <c r="C57" s="81">
        <v>0</v>
      </c>
      <c r="D57" s="81">
        <v>21627.68</v>
      </c>
      <c r="E57" s="81">
        <v>-21627.68</v>
      </c>
      <c r="F57" s="81">
        <v>0</v>
      </c>
      <c r="G57" s="81">
        <v>21627.68</v>
      </c>
      <c r="H57" s="81">
        <v>-21627.68</v>
      </c>
      <c r="I57" s="81">
        <v>0</v>
      </c>
    </row>
    <row r="58" spans="1:9" ht="12.75">
      <c r="A58" t="s">
        <v>150</v>
      </c>
      <c r="B58" s="235" t="s">
        <v>151</v>
      </c>
      <c r="C58" s="81">
        <v>0</v>
      </c>
      <c r="D58" s="81">
        <v>325664171.24</v>
      </c>
      <c r="E58" s="81">
        <v>-325664171.24</v>
      </c>
      <c r="F58" s="81">
        <v>0</v>
      </c>
      <c r="G58" s="81">
        <v>325664171.24</v>
      </c>
      <c r="H58" s="81">
        <v>-325664171.24</v>
      </c>
      <c r="I58" s="81">
        <v>0</v>
      </c>
    </row>
    <row r="59" spans="1:9" ht="12.75">
      <c r="A59" t="s">
        <v>152</v>
      </c>
      <c r="B59" s="235" t="s">
        <v>153</v>
      </c>
      <c r="C59" s="81">
        <v>50099363.9</v>
      </c>
      <c r="D59" s="81">
        <v>0</v>
      </c>
      <c r="E59" s="81">
        <v>50099363.9</v>
      </c>
      <c r="F59" s="81">
        <v>50099363.9</v>
      </c>
      <c r="G59" s="81">
        <v>0</v>
      </c>
      <c r="H59" s="81">
        <v>50099363.9</v>
      </c>
      <c r="I59" s="81">
        <v>0</v>
      </c>
    </row>
    <row r="60" spans="1:9" ht="12.75">
      <c r="A60" t="s">
        <v>154</v>
      </c>
      <c r="B60" s="235" t="s">
        <v>155</v>
      </c>
      <c r="C60" s="81">
        <v>0</v>
      </c>
      <c r="D60" s="81">
        <v>182002411.41</v>
      </c>
      <c r="E60" s="81">
        <v>-182002411.41</v>
      </c>
      <c r="F60" s="81">
        <v>0</v>
      </c>
      <c r="G60" s="81">
        <v>182002411.41</v>
      </c>
      <c r="H60" s="81">
        <v>-182002411.41</v>
      </c>
      <c r="I60" s="81">
        <v>0</v>
      </c>
    </row>
    <row r="61" spans="1:9" ht="12.75">
      <c r="A61" t="s">
        <v>156</v>
      </c>
      <c r="B61" s="235" t="s">
        <v>157</v>
      </c>
      <c r="C61" s="81">
        <v>2194.35</v>
      </c>
      <c r="D61" s="81">
        <v>0</v>
      </c>
      <c r="E61" s="81">
        <v>2194.35</v>
      </c>
      <c r="F61" s="81">
        <v>2194.35</v>
      </c>
      <c r="G61" s="81">
        <v>0</v>
      </c>
      <c r="H61" s="81">
        <v>2194.35</v>
      </c>
      <c r="I61" s="81">
        <v>0</v>
      </c>
    </row>
    <row r="62" spans="1:9" ht="12.75">
      <c r="A62" t="s">
        <v>158</v>
      </c>
      <c r="B62" s="235" t="s">
        <v>159</v>
      </c>
      <c r="C62" s="81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</row>
    <row r="63" spans="1:9" ht="12.75">
      <c r="A63" t="s">
        <v>160</v>
      </c>
      <c r="B63" s="235" t="s">
        <v>161</v>
      </c>
      <c r="C63" s="81">
        <v>23466392.65</v>
      </c>
      <c r="D63" s="81">
        <v>0</v>
      </c>
      <c r="E63" s="81">
        <v>23466392.65</v>
      </c>
      <c r="F63" s="81">
        <v>23466392.65</v>
      </c>
      <c r="G63" s="81">
        <v>0</v>
      </c>
      <c r="H63" s="81">
        <v>23466392.65</v>
      </c>
      <c r="I63" s="81">
        <v>0</v>
      </c>
    </row>
    <row r="64" spans="1:9" ht="12.75">
      <c r="A64" t="s">
        <v>101</v>
      </c>
      <c r="B64" s="236" t="s">
        <v>513</v>
      </c>
      <c r="C64" s="237">
        <v>766339884.41</v>
      </c>
      <c r="D64" s="237">
        <v>584227856.73</v>
      </c>
      <c r="E64" s="237">
        <v>182112027.68</v>
      </c>
      <c r="F64" s="237">
        <v>766339884.41</v>
      </c>
      <c r="G64" s="237">
        <v>584227856.73</v>
      </c>
      <c r="H64" s="237">
        <v>182112027.68</v>
      </c>
      <c r="I64" s="237">
        <v>0</v>
      </c>
    </row>
    <row r="66" spans="1:9" ht="12.75">
      <c r="A66" t="s">
        <v>162</v>
      </c>
      <c r="B66" s="235" t="s">
        <v>519</v>
      </c>
      <c r="C66" s="81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</row>
    <row r="67" spans="1:9" ht="12.75">
      <c r="A67" t="s">
        <v>163</v>
      </c>
      <c r="B67" s="235" t="s">
        <v>519</v>
      </c>
      <c r="C67" s="81">
        <v>1311224773.93</v>
      </c>
      <c r="D67" s="81">
        <v>0</v>
      </c>
      <c r="E67" s="81">
        <v>1311224773.93</v>
      </c>
      <c r="F67" s="81">
        <v>1311224773.93</v>
      </c>
      <c r="G67" s="81">
        <v>0</v>
      </c>
      <c r="H67" s="81">
        <v>1311224773.93</v>
      </c>
      <c r="I67" s="81">
        <v>0</v>
      </c>
    </row>
    <row r="68" spans="1:9" ht="12.75">
      <c r="A68" t="s">
        <v>164</v>
      </c>
      <c r="B68" s="235" t="s">
        <v>165</v>
      </c>
      <c r="C68" s="81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</row>
    <row r="69" spans="1:9" ht="12.75">
      <c r="A69" t="s">
        <v>166</v>
      </c>
      <c r="B69" s="235" t="s">
        <v>520</v>
      </c>
      <c r="C69" s="81">
        <v>0</v>
      </c>
      <c r="D69" s="81">
        <v>46496014.58</v>
      </c>
      <c r="E69" s="81">
        <v>-46496014.58</v>
      </c>
      <c r="F69" s="81">
        <v>0</v>
      </c>
      <c r="G69" s="81">
        <v>46496014.58</v>
      </c>
      <c r="H69" s="81">
        <v>-46496014.58</v>
      </c>
      <c r="I69" s="81">
        <v>0</v>
      </c>
    </row>
    <row r="70" spans="1:9" ht="12.75">
      <c r="A70" t="s">
        <v>167</v>
      </c>
      <c r="B70" s="235" t="s">
        <v>521</v>
      </c>
      <c r="C70" s="81">
        <v>0</v>
      </c>
      <c r="D70" s="81">
        <v>212635.95</v>
      </c>
      <c r="E70" s="81">
        <v>-212635.95</v>
      </c>
      <c r="F70" s="81">
        <v>0</v>
      </c>
      <c r="G70" s="81">
        <v>212635.95</v>
      </c>
      <c r="H70" s="81">
        <v>-212635.95</v>
      </c>
      <c r="I70" s="81">
        <v>0</v>
      </c>
    </row>
    <row r="71" spans="1:9" ht="12.75">
      <c r="A71" t="s">
        <v>168</v>
      </c>
      <c r="B71" s="235" t="s">
        <v>522</v>
      </c>
      <c r="C71" s="81">
        <v>0</v>
      </c>
      <c r="D71" s="81">
        <v>870491162.55</v>
      </c>
      <c r="E71" s="81">
        <v>-870491162.55</v>
      </c>
      <c r="F71" s="81">
        <v>0</v>
      </c>
      <c r="G71" s="81">
        <v>870491162.55</v>
      </c>
      <c r="H71" s="81">
        <v>-870491162.55</v>
      </c>
      <c r="I71" s="81">
        <v>0</v>
      </c>
    </row>
    <row r="72" spans="1:9" ht="12.75">
      <c r="A72" t="s">
        <v>169</v>
      </c>
      <c r="B72" s="235" t="s">
        <v>523</v>
      </c>
      <c r="C72" s="81">
        <v>139657911.28</v>
      </c>
      <c r="D72" s="81">
        <v>0</v>
      </c>
      <c r="E72" s="81">
        <v>139657911.28</v>
      </c>
      <c r="F72" s="81">
        <v>139657911.28</v>
      </c>
      <c r="G72" s="81">
        <v>0</v>
      </c>
      <c r="H72" s="81">
        <v>139657911.28</v>
      </c>
      <c r="I72" s="81">
        <v>0</v>
      </c>
    </row>
    <row r="73" spans="1:9" ht="12.75">
      <c r="A73" t="s">
        <v>170</v>
      </c>
      <c r="B73" s="235" t="s">
        <v>524</v>
      </c>
      <c r="C73" s="81">
        <v>0</v>
      </c>
      <c r="D73" s="81">
        <v>193708747.39</v>
      </c>
      <c r="E73" s="81">
        <v>-193708747.39</v>
      </c>
      <c r="F73" s="81">
        <v>0</v>
      </c>
      <c r="G73" s="81">
        <v>193708747.39</v>
      </c>
      <c r="H73" s="81">
        <v>-193708747.39</v>
      </c>
      <c r="I73" s="81">
        <v>0</v>
      </c>
    </row>
    <row r="74" spans="1:9" ht="12.75">
      <c r="A74" t="s">
        <v>171</v>
      </c>
      <c r="B74" s="235" t="s">
        <v>525</v>
      </c>
      <c r="C74" s="81">
        <v>205442.47</v>
      </c>
      <c r="D74" s="81">
        <v>0</v>
      </c>
      <c r="E74" s="81">
        <v>205442.47</v>
      </c>
      <c r="F74" s="81">
        <v>205442.47</v>
      </c>
      <c r="G74" s="81">
        <v>0</v>
      </c>
      <c r="H74" s="81">
        <v>205442.47</v>
      </c>
      <c r="I74" s="81">
        <v>0</v>
      </c>
    </row>
    <row r="75" spans="1:9" ht="12.75">
      <c r="A75" t="s">
        <v>172</v>
      </c>
      <c r="B75" s="235" t="s">
        <v>529</v>
      </c>
      <c r="C75" s="81">
        <v>28950343.42</v>
      </c>
      <c r="D75" s="81">
        <v>0</v>
      </c>
      <c r="E75" s="81">
        <v>28950343.42</v>
      </c>
      <c r="F75" s="81">
        <v>28950343.42</v>
      </c>
      <c r="G75" s="81">
        <v>0</v>
      </c>
      <c r="H75" s="81">
        <v>28950343.42</v>
      </c>
      <c r="I75" s="81">
        <v>0</v>
      </c>
    </row>
    <row r="76" spans="1:9" ht="12.75">
      <c r="A76" t="s">
        <v>103</v>
      </c>
      <c r="B76" s="236" t="s">
        <v>519</v>
      </c>
      <c r="C76" s="237">
        <v>1480038471.1</v>
      </c>
      <c r="D76" s="237">
        <v>1110908560.47</v>
      </c>
      <c r="E76" s="237">
        <v>369129910.63</v>
      </c>
      <c r="F76" s="237">
        <v>1480038471.1</v>
      </c>
      <c r="G76" s="237">
        <v>1110908560.47</v>
      </c>
      <c r="H76" s="237">
        <v>369129910.63</v>
      </c>
      <c r="I76" s="237">
        <v>0</v>
      </c>
    </row>
    <row r="78" spans="1:9" ht="12.75">
      <c r="A78" t="s">
        <v>173</v>
      </c>
      <c r="B78" s="235" t="s">
        <v>174</v>
      </c>
      <c r="C78" s="81">
        <v>0</v>
      </c>
      <c r="D78" s="81">
        <v>0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</row>
    <row r="79" spans="1:9" ht="12.75">
      <c r="A79" t="s">
        <v>175</v>
      </c>
      <c r="B79" s="235" t="s">
        <v>176</v>
      </c>
      <c r="C79" s="81">
        <v>0</v>
      </c>
      <c r="D79" s="81">
        <v>723560829.01</v>
      </c>
      <c r="E79" s="81">
        <v>-723560829.01</v>
      </c>
      <c r="F79" s="81">
        <v>0</v>
      </c>
      <c r="G79" s="81">
        <v>723560829.01</v>
      </c>
      <c r="H79" s="81">
        <v>-723560829.01</v>
      </c>
      <c r="I79" s="81">
        <v>0</v>
      </c>
    </row>
    <row r="80" spans="1:9" ht="12.75">
      <c r="A80" t="s">
        <v>177</v>
      </c>
      <c r="B80" s="235" t="s">
        <v>178</v>
      </c>
      <c r="C80" s="81">
        <v>462.77</v>
      </c>
      <c r="D80" s="81">
        <v>7830.63</v>
      </c>
      <c r="E80" s="81">
        <v>-7367.86</v>
      </c>
      <c r="F80" s="81">
        <v>462.77</v>
      </c>
      <c r="G80" s="81">
        <v>7830.63</v>
      </c>
      <c r="H80" s="81">
        <v>-7367.86</v>
      </c>
      <c r="I80" s="81">
        <v>0</v>
      </c>
    </row>
    <row r="81" spans="1:9" ht="12.75">
      <c r="A81" t="s">
        <v>179</v>
      </c>
      <c r="B81" s="235" t="s">
        <v>180</v>
      </c>
      <c r="C81" s="81">
        <v>326703715.93</v>
      </c>
      <c r="D81" s="81">
        <v>0</v>
      </c>
      <c r="E81" s="81">
        <v>326703715.93</v>
      </c>
      <c r="F81" s="81">
        <v>326703715.93</v>
      </c>
      <c r="G81" s="81">
        <v>0</v>
      </c>
      <c r="H81" s="81">
        <v>326703715.93</v>
      </c>
      <c r="I81" s="81">
        <v>0</v>
      </c>
    </row>
    <row r="82" spans="1:9" ht="12.75">
      <c r="A82" t="s">
        <v>181</v>
      </c>
      <c r="B82" s="235" t="s">
        <v>182</v>
      </c>
      <c r="C82" s="81">
        <v>0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</row>
    <row r="83" spans="1:9" ht="12.75">
      <c r="A83" t="s">
        <v>183</v>
      </c>
      <c r="B83" s="235" t="s">
        <v>184</v>
      </c>
      <c r="C83" s="81">
        <v>396622259.27</v>
      </c>
      <c r="D83" s="81">
        <v>0</v>
      </c>
      <c r="E83" s="81">
        <v>396622259.27</v>
      </c>
      <c r="F83" s="81">
        <v>396622259.27</v>
      </c>
      <c r="G83" s="81">
        <v>0</v>
      </c>
      <c r="H83" s="81">
        <v>396622259.27</v>
      </c>
      <c r="I83" s="81">
        <v>0</v>
      </c>
    </row>
    <row r="84" spans="1:9" ht="12.75">
      <c r="A84" t="s">
        <v>185</v>
      </c>
      <c r="B84" s="236" t="s">
        <v>174</v>
      </c>
      <c r="C84" s="237">
        <v>723326437.97</v>
      </c>
      <c r="D84" s="237">
        <v>723568659.64</v>
      </c>
      <c r="E84" s="237">
        <v>-242221.67</v>
      </c>
      <c r="F84" s="237">
        <v>723326437.97</v>
      </c>
      <c r="G84" s="237">
        <v>723568659.64</v>
      </c>
      <c r="H84" s="237">
        <v>-242221.67</v>
      </c>
      <c r="I84" s="237">
        <v>0</v>
      </c>
    </row>
    <row r="86" spans="1:9" ht="12.75">
      <c r="A86" t="s">
        <v>186</v>
      </c>
      <c r="B86" s="235" t="s">
        <v>530</v>
      </c>
      <c r="C86" s="81">
        <v>0</v>
      </c>
      <c r="D86" s="81">
        <v>0</v>
      </c>
      <c r="E86" s="81">
        <v>0</v>
      </c>
      <c r="F86" s="81">
        <v>0</v>
      </c>
      <c r="G86" s="81">
        <v>0</v>
      </c>
      <c r="H86" s="81">
        <v>0</v>
      </c>
      <c r="I86" s="81">
        <v>0</v>
      </c>
    </row>
    <row r="87" spans="1:9" ht="12.75">
      <c r="A87" t="s">
        <v>187</v>
      </c>
      <c r="B87" s="235" t="s">
        <v>531</v>
      </c>
      <c r="C87" s="81">
        <v>0</v>
      </c>
      <c r="D87" s="81">
        <v>1108982578</v>
      </c>
      <c r="E87" s="81">
        <v>-1108982578</v>
      </c>
      <c r="F87" s="81">
        <v>0</v>
      </c>
      <c r="G87" s="81">
        <v>1108982578</v>
      </c>
      <c r="H87" s="81">
        <v>-1108982578</v>
      </c>
      <c r="I87" s="81">
        <v>0</v>
      </c>
    </row>
    <row r="88" spans="1:9" ht="12.75">
      <c r="A88" t="s">
        <v>188</v>
      </c>
      <c r="B88" s="235" t="s">
        <v>532</v>
      </c>
      <c r="C88" s="81">
        <v>1127488.05</v>
      </c>
      <c r="D88" s="81">
        <v>370995.45</v>
      </c>
      <c r="E88" s="81">
        <v>756492.6</v>
      </c>
      <c r="F88" s="81">
        <v>1127488.05</v>
      </c>
      <c r="G88" s="81">
        <v>370995.45</v>
      </c>
      <c r="H88" s="81">
        <v>756492.6</v>
      </c>
      <c r="I88" s="81">
        <v>0</v>
      </c>
    </row>
    <row r="89" spans="1:9" ht="12.75">
      <c r="A89" t="s">
        <v>189</v>
      </c>
      <c r="B89" s="235" t="s">
        <v>533</v>
      </c>
      <c r="C89" s="81">
        <v>870491162.55</v>
      </c>
      <c r="D89" s="81">
        <v>0</v>
      </c>
      <c r="E89" s="81">
        <v>870491162.55</v>
      </c>
      <c r="F89" s="81">
        <v>870491162.55</v>
      </c>
      <c r="G89" s="81">
        <v>0</v>
      </c>
      <c r="H89" s="81">
        <v>870491162.55</v>
      </c>
      <c r="I89" s="81">
        <v>0</v>
      </c>
    </row>
    <row r="90" spans="1:9" ht="12.75">
      <c r="A90" t="s">
        <v>190</v>
      </c>
      <c r="B90" s="235" t="s">
        <v>534</v>
      </c>
      <c r="C90" s="81">
        <v>0</v>
      </c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</row>
    <row r="91" spans="1:9" ht="12.75">
      <c r="A91" t="s">
        <v>191</v>
      </c>
      <c r="B91" s="235" t="s">
        <v>535</v>
      </c>
      <c r="C91" s="81">
        <v>235473674.14</v>
      </c>
      <c r="D91" s="81">
        <v>0</v>
      </c>
      <c r="E91" s="81">
        <v>235473674.14</v>
      </c>
      <c r="F91" s="81">
        <v>235473674.14</v>
      </c>
      <c r="G91" s="81">
        <v>0</v>
      </c>
      <c r="H91" s="81">
        <v>235473674.14</v>
      </c>
      <c r="I91" s="81">
        <v>0</v>
      </c>
    </row>
    <row r="92" spans="1:9" ht="12.75">
      <c r="A92" t="s">
        <v>192</v>
      </c>
      <c r="B92" s="236" t="s">
        <v>530</v>
      </c>
      <c r="C92" s="237">
        <v>1107092324.74</v>
      </c>
      <c r="D92" s="237">
        <v>1109353573.45</v>
      </c>
      <c r="E92" s="237">
        <v>-2261248.71</v>
      </c>
      <c r="F92" s="237">
        <v>1107092324.74</v>
      </c>
      <c r="G92" s="237">
        <v>1109353573.45</v>
      </c>
      <c r="H92" s="237">
        <v>-2261248.71</v>
      </c>
      <c r="I92" s="237">
        <v>0</v>
      </c>
    </row>
    <row r="94" spans="1:9" ht="12.75">
      <c r="A94" t="s">
        <v>193</v>
      </c>
      <c r="B94" s="235" t="s">
        <v>194</v>
      </c>
      <c r="C94" s="81">
        <v>0</v>
      </c>
      <c r="D94" s="81">
        <v>0</v>
      </c>
      <c r="E94" s="81">
        <v>0</v>
      </c>
      <c r="F94" s="81">
        <v>0</v>
      </c>
      <c r="G94" s="81">
        <v>0</v>
      </c>
      <c r="H94" s="81">
        <v>0</v>
      </c>
      <c r="I94" s="81">
        <v>0</v>
      </c>
    </row>
    <row r="95" spans="1:9" ht="12.75">
      <c r="A95" t="s">
        <v>195</v>
      </c>
      <c r="B95" s="235" t="s">
        <v>196</v>
      </c>
      <c r="C95" s="81">
        <v>1039544.69</v>
      </c>
      <c r="D95" s="81">
        <v>2091627.8</v>
      </c>
      <c r="E95" s="81">
        <v>-1052083.11</v>
      </c>
      <c r="F95" s="81">
        <v>1039544.69</v>
      </c>
      <c r="G95" s="81">
        <v>2091627.8</v>
      </c>
      <c r="H95" s="81">
        <v>-1052083.11</v>
      </c>
      <c r="I95" s="81">
        <v>0</v>
      </c>
    </row>
    <row r="96" spans="1:9" ht="12.75">
      <c r="A96" t="s">
        <v>197</v>
      </c>
      <c r="B96" s="235" t="s">
        <v>198</v>
      </c>
      <c r="C96" s="81">
        <v>17174.81</v>
      </c>
      <c r="D96" s="81">
        <v>462.77</v>
      </c>
      <c r="E96" s="81">
        <v>16712.04</v>
      </c>
      <c r="F96" s="81">
        <v>17174.81</v>
      </c>
      <c r="G96" s="81">
        <v>462.77</v>
      </c>
      <c r="H96" s="81">
        <v>16712.04</v>
      </c>
      <c r="I96" s="81">
        <v>0</v>
      </c>
    </row>
    <row r="97" spans="1:9" ht="12.75">
      <c r="A97" t="s">
        <v>199</v>
      </c>
      <c r="B97" s="235" t="s">
        <v>200</v>
      </c>
      <c r="C97" s="81">
        <v>10855.82</v>
      </c>
      <c r="D97" s="81">
        <v>0</v>
      </c>
      <c r="E97" s="81">
        <v>10855.82</v>
      </c>
      <c r="F97" s="81">
        <v>10855.82</v>
      </c>
      <c r="G97" s="81">
        <v>0</v>
      </c>
      <c r="H97" s="81">
        <v>10855.82</v>
      </c>
      <c r="I97" s="81">
        <v>0</v>
      </c>
    </row>
    <row r="98" spans="1:9" ht="12.75">
      <c r="A98" t="s">
        <v>201</v>
      </c>
      <c r="B98" s="235" t="s">
        <v>202</v>
      </c>
      <c r="C98" s="81">
        <v>1957162.78</v>
      </c>
      <c r="D98" s="81">
        <v>0</v>
      </c>
      <c r="E98" s="81">
        <v>1957162.78</v>
      </c>
      <c r="F98" s="81">
        <v>1957162.78</v>
      </c>
      <c r="G98" s="81">
        <v>0</v>
      </c>
      <c r="H98" s="81">
        <v>1957162.78</v>
      </c>
      <c r="I98" s="81">
        <v>0</v>
      </c>
    </row>
    <row r="99" spans="1:9" ht="12.75">
      <c r="A99" t="s">
        <v>203</v>
      </c>
      <c r="B99" s="235" t="s">
        <v>204</v>
      </c>
      <c r="C99" s="81">
        <v>0</v>
      </c>
      <c r="D99" s="81">
        <v>0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</row>
    <row r="100" spans="1:9" ht="12.75">
      <c r="A100" t="s">
        <v>205</v>
      </c>
      <c r="B100" s="236" t="s">
        <v>194</v>
      </c>
      <c r="C100" s="237">
        <v>3024738.1</v>
      </c>
      <c r="D100" s="237">
        <v>2092090.57</v>
      </c>
      <c r="E100" s="237">
        <v>932647.53</v>
      </c>
      <c r="F100" s="237">
        <v>3024738.1</v>
      </c>
      <c r="G100" s="237">
        <v>2092090.57</v>
      </c>
      <c r="H100" s="237">
        <v>932647.53</v>
      </c>
      <c r="I100" s="237">
        <v>0</v>
      </c>
    </row>
    <row r="102" spans="1:9" ht="12.75">
      <c r="A102" t="s">
        <v>206</v>
      </c>
      <c r="B102" s="235" t="s">
        <v>536</v>
      </c>
      <c r="C102" s="81">
        <v>0</v>
      </c>
      <c r="D102" s="81">
        <v>0</v>
      </c>
      <c r="E102" s="81">
        <v>0</v>
      </c>
      <c r="F102" s="81">
        <v>0</v>
      </c>
      <c r="G102" s="81">
        <v>0</v>
      </c>
      <c r="H102" s="81">
        <v>0</v>
      </c>
      <c r="I102" s="81">
        <v>0</v>
      </c>
    </row>
    <row r="103" spans="1:9" ht="12.75">
      <c r="A103" t="s">
        <v>207</v>
      </c>
      <c r="B103" s="235" t="s">
        <v>537</v>
      </c>
      <c r="C103" s="81">
        <v>0</v>
      </c>
      <c r="D103" s="81">
        <v>7511286.77</v>
      </c>
      <c r="E103" s="81">
        <v>-7511286.77</v>
      </c>
      <c r="F103" s="81">
        <v>0</v>
      </c>
      <c r="G103" s="81">
        <v>7511286.77</v>
      </c>
      <c r="H103" s="81">
        <v>-7511286.77</v>
      </c>
      <c r="I103" s="81">
        <v>0</v>
      </c>
    </row>
    <row r="104" spans="1:9" ht="12.75">
      <c r="A104" t="s">
        <v>208</v>
      </c>
      <c r="B104" s="235" t="s">
        <v>538</v>
      </c>
      <c r="C104" s="81">
        <v>370995.45</v>
      </c>
      <c r="D104" s="81">
        <v>959265.32</v>
      </c>
      <c r="E104" s="81">
        <v>-588269.87</v>
      </c>
      <c r="F104" s="81">
        <v>370995.45</v>
      </c>
      <c r="G104" s="81">
        <v>959265.32</v>
      </c>
      <c r="H104" s="81">
        <v>-588269.87</v>
      </c>
      <c r="I104" s="81">
        <v>0</v>
      </c>
    </row>
    <row r="105" spans="1:9" ht="12.75">
      <c r="A105" t="s">
        <v>209</v>
      </c>
      <c r="B105" s="235" t="s">
        <v>539</v>
      </c>
      <c r="C105" s="81">
        <v>212635.95</v>
      </c>
      <c r="D105" s="81">
        <v>0</v>
      </c>
      <c r="E105" s="81">
        <v>212635.95</v>
      </c>
      <c r="F105" s="81">
        <v>212635.95</v>
      </c>
      <c r="G105" s="81">
        <v>0</v>
      </c>
      <c r="H105" s="81">
        <v>212635.95</v>
      </c>
      <c r="I105" s="81">
        <v>0</v>
      </c>
    </row>
    <row r="106" spans="1:9" ht="12.75">
      <c r="A106" t="s">
        <v>210</v>
      </c>
      <c r="B106" s="235" t="s">
        <v>540</v>
      </c>
      <c r="C106" s="81">
        <v>4791855.72</v>
      </c>
      <c r="D106" s="81">
        <v>0</v>
      </c>
      <c r="E106" s="81">
        <v>4791855.72</v>
      </c>
      <c r="F106" s="81">
        <v>4791855.72</v>
      </c>
      <c r="G106" s="81">
        <v>0</v>
      </c>
      <c r="H106" s="81">
        <v>4791855.72</v>
      </c>
      <c r="I106" s="81">
        <v>0</v>
      </c>
    </row>
    <row r="107" spans="1:9" ht="12.75">
      <c r="A107" t="s">
        <v>211</v>
      </c>
      <c r="B107" s="235" t="s">
        <v>541</v>
      </c>
      <c r="C107" s="81">
        <v>0</v>
      </c>
      <c r="D107" s="81">
        <v>0</v>
      </c>
      <c r="E107" s="81">
        <v>0</v>
      </c>
      <c r="F107" s="81">
        <v>0</v>
      </c>
      <c r="G107" s="81">
        <v>0</v>
      </c>
      <c r="H107" s="81">
        <v>0</v>
      </c>
      <c r="I107" s="81">
        <v>0</v>
      </c>
    </row>
    <row r="108" spans="1:9" ht="12.75">
      <c r="A108" t="s">
        <v>212</v>
      </c>
      <c r="B108" s="236" t="s">
        <v>536</v>
      </c>
      <c r="C108" s="237">
        <v>5375487.12</v>
      </c>
      <c r="D108" s="237">
        <v>8470552.09</v>
      </c>
      <c r="E108" s="237">
        <v>-3095064.97</v>
      </c>
      <c r="F108" s="237">
        <v>5375487.12</v>
      </c>
      <c r="G108" s="237">
        <v>8470552.09</v>
      </c>
      <c r="H108" s="237">
        <v>-3095064.97</v>
      </c>
      <c r="I108" s="237">
        <v>0</v>
      </c>
    </row>
    <row r="110" spans="1:9" ht="12.75">
      <c r="A110" t="s">
        <v>213</v>
      </c>
      <c r="B110" s="235" t="s">
        <v>214</v>
      </c>
      <c r="C110" s="81">
        <v>0</v>
      </c>
      <c r="D110" s="81">
        <v>0</v>
      </c>
      <c r="E110" s="81">
        <v>0</v>
      </c>
      <c r="F110" s="81">
        <v>0</v>
      </c>
      <c r="G110" s="81">
        <v>0</v>
      </c>
      <c r="H110" s="81">
        <v>0</v>
      </c>
      <c r="I110" s="81">
        <v>0</v>
      </c>
    </row>
    <row r="111" spans="1:9" ht="12.75">
      <c r="A111" t="s">
        <v>215</v>
      </c>
      <c r="B111" s="235" t="s">
        <v>216</v>
      </c>
      <c r="C111" s="81">
        <v>844489944.43</v>
      </c>
      <c r="D111" s="81">
        <v>0</v>
      </c>
      <c r="E111" s="81">
        <v>844489944.43</v>
      </c>
      <c r="F111" s="81">
        <v>844489944.43</v>
      </c>
      <c r="G111" s="81">
        <v>0</v>
      </c>
      <c r="H111" s="81">
        <v>844489944.43</v>
      </c>
      <c r="I111" s="81">
        <v>0</v>
      </c>
    </row>
    <row r="112" spans="1:9" ht="12.75">
      <c r="A112" t="s">
        <v>217</v>
      </c>
      <c r="B112" s="235" t="s">
        <v>218</v>
      </c>
      <c r="C112" s="81">
        <v>8808.28</v>
      </c>
      <c r="D112" s="81">
        <v>47380.7</v>
      </c>
      <c r="E112" s="81">
        <v>-38572.42</v>
      </c>
      <c r="F112" s="81">
        <v>8808.28</v>
      </c>
      <c r="G112" s="81">
        <v>47380.7</v>
      </c>
      <c r="H112" s="81">
        <v>-38572.42</v>
      </c>
      <c r="I112" s="81">
        <v>0</v>
      </c>
    </row>
    <row r="113" spans="1:9" ht="12.75">
      <c r="A113" t="s">
        <v>219</v>
      </c>
      <c r="B113" s="235" t="s">
        <v>220</v>
      </c>
      <c r="C113" s="81">
        <v>0</v>
      </c>
      <c r="D113" s="81">
        <v>413675286.56</v>
      </c>
      <c r="E113" s="81">
        <v>-413675286.56</v>
      </c>
      <c r="F113" s="81">
        <v>0</v>
      </c>
      <c r="G113" s="81">
        <v>413675286.56</v>
      </c>
      <c r="H113" s="81">
        <v>-413675286.56</v>
      </c>
      <c r="I113" s="81">
        <v>0</v>
      </c>
    </row>
    <row r="114" spans="1:9" ht="12.75">
      <c r="A114" t="s">
        <v>221</v>
      </c>
      <c r="B114" s="235" t="s">
        <v>222</v>
      </c>
      <c r="C114" s="81">
        <v>0</v>
      </c>
      <c r="D114" s="81">
        <v>0</v>
      </c>
      <c r="E114" s="81">
        <v>0</v>
      </c>
      <c r="F114" s="81">
        <v>0</v>
      </c>
      <c r="G114" s="81">
        <v>0</v>
      </c>
      <c r="H114" s="81">
        <v>0</v>
      </c>
      <c r="I114" s="81">
        <v>0</v>
      </c>
    </row>
    <row r="115" spans="1:9" ht="12.75">
      <c r="A115" t="s">
        <v>225</v>
      </c>
      <c r="B115" s="235" t="s">
        <v>226</v>
      </c>
      <c r="C115" s="81">
        <v>0</v>
      </c>
      <c r="D115" s="81">
        <v>430477062.76</v>
      </c>
      <c r="E115" s="81">
        <v>-430477062.76</v>
      </c>
      <c r="F115" s="81">
        <v>0</v>
      </c>
      <c r="G115" s="81">
        <v>430477062.76</v>
      </c>
      <c r="H115" s="81">
        <v>-430477062.76</v>
      </c>
      <c r="I115" s="81">
        <v>0</v>
      </c>
    </row>
    <row r="116" spans="1:9" ht="12.75">
      <c r="A116" t="s">
        <v>227</v>
      </c>
      <c r="B116" s="236" t="s">
        <v>214</v>
      </c>
      <c r="C116" s="237">
        <v>844498752.71</v>
      </c>
      <c r="D116" s="237">
        <v>844199730.02</v>
      </c>
      <c r="E116" s="237">
        <v>299022.69</v>
      </c>
      <c r="F116" s="237">
        <v>844498752.71</v>
      </c>
      <c r="G116" s="237">
        <v>844199730.02</v>
      </c>
      <c r="H116" s="237">
        <v>299022.69</v>
      </c>
      <c r="I116" s="237">
        <v>0</v>
      </c>
    </row>
    <row r="118" spans="1:9" ht="12.75">
      <c r="A118" t="s">
        <v>228</v>
      </c>
      <c r="B118" s="235" t="s">
        <v>542</v>
      </c>
      <c r="C118" s="81">
        <v>0</v>
      </c>
      <c r="D118" s="81">
        <v>0</v>
      </c>
      <c r="E118" s="81">
        <v>0</v>
      </c>
      <c r="F118" s="81">
        <v>0</v>
      </c>
      <c r="G118" s="81">
        <v>0</v>
      </c>
      <c r="H118" s="81">
        <v>0</v>
      </c>
      <c r="I118" s="81">
        <v>0</v>
      </c>
    </row>
    <row r="119" spans="1:9" ht="12.75">
      <c r="A119" t="s">
        <v>229</v>
      </c>
      <c r="B119" s="235" t="s">
        <v>543</v>
      </c>
      <c r="C119" s="81">
        <v>1239567350.65</v>
      </c>
      <c r="D119" s="81">
        <v>152091.77</v>
      </c>
      <c r="E119" s="81">
        <v>1239415258.88</v>
      </c>
      <c r="F119" s="81">
        <v>1239567350.65</v>
      </c>
      <c r="G119" s="81">
        <v>152091.77</v>
      </c>
      <c r="H119" s="81">
        <v>1239415258.88</v>
      </c>
      <c r="I119" s="81">
        <v>0</v>
      </c>
    </row>
    <row r="120" spans="1:9" ht="12.75">
      <c r="A120" t="s">
        <v>230</v>
      </c>
      <c r="B120" s="235" t="s">
        <v>544</v>
      </c>
      <c r="C120" s="81">
        <v>386676.5</v>
      </c>
      <c r="D120" s="81">
        <v>1025098.52</v>
      </c>
      <c r="E120" s="81">
        <v>-638422.02</v>
      </c>
      <c r="F120" s="81">
        <v>386676.5</v>
      </c>
      <c r="G120" s="81">
        <v>1025098.52</v>
      </c>
      <c r="H120" s="81">
        <v>-638422.02</v>
      </c>
      <c r="I120" s="81">
        <v>0</v>
      </c>
    </row>
    <row r="121" spans="1:9" ht="12.75">
      <c r="A121" t="s">
        <v>231</v>
      </c>
      <c r="B121" s="235" t="s">
        <v>545</v>
      </c>
      <c r="C121" s="81">
        <v>0</v>
      </c>
      <c r="D121" s="81">
        <v>982749292.32</v>
      </c>
      <c r="E121" s="81">
        <v>-982749292.32</v>
      </c>
      <c r="F121" s="81">
        <v>0</v>
      </c>
      <c r="G121" s="81">
        <v>982749292.32</v>
      </c>
      <c r="H121" s="81">
        <v>-982749292.32</v>
      </c>
      <c r="I121" s="81">
        <v>0</v>
      </c>
    </row>
    <row r="122" spans="1:9" ht="12.75">
      <c r="A122" t="s">
        <v>232</v>
      </c>
      <c r="B122" s="235" t="s">
        <v>546</v>
      </c>
      <c r="C122" s="81">
        <v>0</v>
      </c>
      <c r="D122" s="81">
        <v>0</v>
      </c>
      <c r="E122" s="81">
        <v>0</v>
      </c>
      <c r="F122" s="81">
        <v>0</v>
      </c>
      <c r="G122" s="81">
        <v>0</v>
      </c>
      <c r="H122" s="81">
        <v>0</v>
      </c>
      <c r="I122" s="81">
        <v>0</v>
      </c>
    </row>
    <row r="123" spans="1:9" ht="12.75">
      <c r="A123" t="s">
        <v>233</v>
      </c>
      <c r="B123" s="235" t="s">
        <v>547</v>
      </c>
      <c r="C123" s="81">
        <v>0</v>
      </c>
      <c r="D123" s="81">
        <v>253626362.6</v>
      </c>
      <c r="E123" s="81">
        <v>-253626362.6</v>
      </c>
      <c r="F123" s="81">
        <v>0</v>
      </c>
      <c r="G123" s="81">
        <v>253626362.6</v>
      </c>
      <c r="H123" s="81">
        <v>-253626362.6</v>
      </c>
      <c r="I123" s="81">
        <v>0</v>
      </c>
    </row>
    <row r="124" spans="1:9" ht="12.75">
      <c r="A124" t="s">
        <v>234</v>
      </c>
      <c r="B124" s="236" t="s">
        <v>542</v>
      </c>
      <c r="C124" s="237">
        <v>1239954027.15</v>
      </c>
      <c r="D124" s="237">
        <v>1237552845.21</v>
      </c>
      <c r="E124" s="237">
        <v>2401181.94</v>
      </c>
      <c r="F124" s="237">
        <v>1239954027.15</v>
      </c>
      <c r="G124" s="237">
        <v>1237552845.21</v>
      </c>
      <c r="H124" s="237">
        <v>2401181.94</v>
      </c>
      <c r="I124" s="237">
        <v>0</v>
      </c>
    </row>
    <row r="126" spans="1:9" ht="12.75">
      <c r="A126" t="s">
        <v>235</v>
      </c>
      <c r="B126" s="235" t="s">
        <v>236</v>
      </c>
      <c r="C126" s="81">
        <v>0</v>
      </c>
      <c r="D126" s="81">
        <v>0</v>
      </c>
      <c r="E126" s="81">
        <v>0</v>
      </c>
      <c r="F126" s="81">
        <v>0</v>
      </c>
      <c r="G126" s="81">
        <v>0</v>
      </c>
      <c r="H126" s="81">
        <v>0</v>
      </c>
      <c r="I126" s="81">
        <v>0</v>
      </c>
    </row>
    <row r="127" spans="1:9" ht="12.75">
      <c r="A127" t="s">
        <v>237</v>
      </c>
      <c r="B127" s="235" t="s">
        <v>238</v>
      </c>
      <c r="C127" s="81">
        <v>2605510.61</v>
      </c>
      <c r="D127" s="81">
        <v>1039544.69</v>
      </c>
      <c r="E127" s="81">
        <v>1565965.92</v>
      </c>
      <c r="F127" s="81">
        <v>2605510.61</v>
      </c>
      <c r="G127" s="81">
        <v>1039544.69</v>
      </c>
      <c r="H127" s="81">
        <v>1565965.92</v>
      </c>
      <c r="I127" s="81">
        <v>0</v>
      </c>
    </row>
    <row r="128" spans="1:9" ht="12.75">
      <c r="A128" t="s">
        <v>239</v>
      </c>
      <c r="B128" s="235" t="s">
        <v>240</v>
      </c>
      <c r="C128" s="81">
        <v>974.23</v>
      </c>
      <c r="D128" s="81">
        <v>75005.98</v>
      </c>
      <c r="E128" s="81">
        <v>-74031.75</v>
      </c>
      <c r="F128" s="81">
        <v>974.23</v>
      </c>
      <c r="G128" s="81">
        <v>75005.98</v>
      </c>
      <c r="H128" s="81">
        <v>-74031.75</v>
      </c>
      <c r="I128" s="81">
        <v>0</v>
      </c>
    </row>
    <row r="129" spans="1:9" ht="12.75">
      <c r="A129" t="s">
        <v>241</v>
      </c>
      <c r="B129" s="235" t="s">
        <v>242</v>
      </c>
      <c r="C129" s="81">
        <v>0</v>
      </c>
      <c r="D129" s="81">
        <v>17896.3</v>
      </c>
      <c r="E129" s="81">
        <v>-17896.3</v>
      </c>
      <c r="F129" s="81">
        <v>0</v>
      </c>
      <c r="G129" s="81">
        <v>17896.3</v>
      </c>
      <c r="H129" s="81">
        <v>-17896.3</v>
      </c>
      <c r="I129" s="81">
        <v>0</v>
      </c>
    </row>
    <row r="130" spans="1:9" ht="12.75">
      <c r="A130" t="s">
        <v>243</v>
      </c>
      <c r="B130" s="235" t="s">
        <v>244</v>
      </c>
      <c r="C130" s="81">
        <v>0</v>
      </c>
      <c r="D130" s="81">
        <v>0</v>
      </c>
      <c r="E130" s="81">
        <v>0</v>
      </c>
      <c r="F130" s="81">
        <v>0</v>
      </c>
      <c r="G130" s="81">
        <v>0</v>
      </c>
      <c r="H130" s="81">
        <v>0</v>
      </c>
      <c r="I130" s="81">
        <v>0</v>
      </c>
    </row>
    <row r="131" spans="1:9" ht="12.75">
      <c r="A131" t="s">
        <v>245</v>
      </c>
      <c r="B131" s="235" t="s">
        <v>253</v>
      </c>
      <c r="C131" s="81">
        <v>0</v>
      </c>
      <c r="D131" s="81">
        <v>2375997.09</v>
      </c>
      <c r="E131" s="81">
        <v>-2375997.09</v>
      </c>
      <c r="F131" s="81">
        <v>0</v>
      </c>
      <c r="G131" s="81">
        <v>2375997.09</v>
      </c>
      <c r="H131" s="81">
        <v>-2375997.09</v>
      </c>
      <c r="I131" s="81">
        <v>0</v>
      </c>
    </row>
    <row r="132" spans="1:9" ht="12.75">
      <c r="A132" t="s">
        <v>254</v>
      </c>
      <c r="B132" s="236" t="s">
        <v>236</v>
      </c>
      <c r="C132" s="237">
        <v>2606484.84</v>
      </c>
      <c r="D132" s="237">
        <v>3508444.06</v>
      </c>
      <c r="E132" s="237">
        <v>-901959.22</v>
      </c>
      <c r="F132" s="237">
        <v>2606484.84</v>
      </c>
      <c r="G132" s="237">
        <v>3508444.06</v>
      </c>
      <c r="H132" s="237">
        <v>-901959.22</v>
      </c>
      <c r="I132" s="237">
        <v>0</v>
      </c>
    </row>
    <row r="134" spans="1:9" ht="12.75">
      <c r="A134" t="s">
        <v>255</v>
      </c>
      <c r="B134" s="235" t="s">
        <v>548</v>
      </c>
      <c r="C134" s="81">
        <v>0</v>
      </c>
      <c r="D134" s="81">
        <v>0</v>
      </c>
      <c r="E134" s="81">
        <v>0</v>
      </c>
      <c r="F134" s="81">
        <v>0</v>
      </c>
      <c r="G134" s="81">
        <v>0</v>
      </c>
      <c r="H134" s="81">
        <v>0</v>
      </c>
      <c r="I134" s="81">
        <v>0</v>
      </c>
    </row>
    <row r="135" spans="1:9" ht="12.75">
      <c r="A135" t="s">
        <v>256</v>
      </c>
      <c r="B135" s="235" t="s">
        <v>549</v>
      </c>
      <c r="C135" s="81">
        <v>8097861.22</v>
      </c>
      <c r="D135" s="81">
        <v>0</v>
      </c>
      <c r="E135" s="81">
        <v>8097861.22</v>
      </c>
      <c r="F135" s="81">
        <v>8097861.22</v>
      </c>
      <c r="G135" s="81">
        <v>0</v>
      </c>
      <c r="H135" s="81">
        <v>8097861.22</v>
      </c>
      <c r="I135" s="81">
        <v>0</v>
      </c>
    </row>
    <row r="136" spans="1:9" ht="12.75">
      <c r="A136" t="s">
        <v>257</v>
      </c>
      <c r="B136" s="235" t="s">
        <v>550</v>
      </c>
      <c r="C136" s="81">
        <v>994127.15</v>
      </c>
      <c r="D136" s="81">
        <v>386676.5</v>
      </c>
      <c r="E136" s="81">
        <v>607450.65</v>
      </c>
      <c r="F136" s="81">
        <v>994127.15</v>
      </c>
      <c r="G136" s="81">
        <v>386676.5</v>
      </c>
      <c r="H136" s="81">
        <v>607450.65</v>
      </c>
      <c r="I136" s="81">
        <v>0</v>
      </c>
    </row>
    <row r="137" spans="1:9" ht="12.75">
      <c r="A137" t="s">
        <v>258</v>
      </c>
      <c r="B137" s="235" t="s">
        <v>551</v>
      </c>
      <c r="C137" s="81">
        <v>0</v>
      </c>
      <c r="D137" s="81">
        <v>231957.91</v>
      </c>
      <c r="E137" s="81">
        <v>-231957.91</v>
      </c>
      <c r="F137" s="81">
        <v>0</v>
      </c>
      <c r="G137" s="81">
        <v>231957.91</v>
      </c>
      <c r="H137" s="81">
        <v>-231957.91</v>
      </c>
      <c r="I137" s="81">
        <v>0</v>
      </c>
    </row>
    <row r="138" spans="1:9" ht="12.75">
      <c r="A138" t="s">
        <v>259</v>
      </c>
      <c r="B138" s="235" t="s">
        <v>552</v>
      </c>
      <c r="C138" s="81">
        <v>0</v>
      </c>
      <c r="D138" s="81">
        <v>0</v>
      </c>
      <c r="E138" s="81">
        <v>0</v>
      </c>
      <c r="F138" s="81">
        <v>0</v>
      </c>
      <c r="G138" s="81">
        <v>0</v>
      </c>
      <c r="H138" s="81">
        <v>0</v>
      </c>
      <c r="I138" s="81">
        <v>0</v>
      </c>
    </row>
    <row r="139" spans="1:9" ht="12.75">
      <c r="A139" t="s">
        <v>260</v>
      </c>
      <c r="B139" s="235" t="s">
        <v>553</v>
      </c>
      <c r="C139" s="81">
        <v>0</v>
      </c>
      <c r="D139" s="81">
        <v>5189882.07</v>
      </c>
      <c r="E139" s="81">
        <v>-5189882.07</v>
      </c>
      <c r="F139" s="81">
        <v>0</v>
      </c>
      <c r="G139" s="81">
        <v>5189882.07</v>
      </c>
      <c r="H139" s="81">
        <v>-5189882.07</v>
      </c>
      <c r="I139" s="81">
        <v>0</v>
      </c>
    </row>
    <row r="140" spans="1:9" ht="12.75">
      <c r="A140" t="s">
        <v>261</v>
      </c>
      <c r="B140" s="236" t="s">
        <v>548</v>
      </c>
      <c r="C140" s="237">
        <v>9091988.37</v>
      </c>
      <c r="D140" s="237">
        <v>5808516.48</v>
      </c>
      <c r="E140" s="237">
        <v>3283471.89</v>
      </c>
      <c r="F140" s="237">
        <v>9091988.37</v>
      </c>
      <c r="G140" s="237">
        <v>5808516.48</v>
      </c>
      <c r="H140" s="237">
        <v>3283471.89</v>
      </c>
      <c r="I140" s="237">
        <v>0</v>
      </c>
    </row>
    <row r="142" spans="1:9" ht="12.75">
      <c r="A142" t="s">
        <v>262</v>
      </c>
      <c r="B142" s="235" t="s">
        <v>263</v>
      </c>
      <c r="C142" s="81">
        <v>0</v>
      </c>
      <c r="D142" s="81">
        <v>0</v>
      </c>
      <c r="E142" s="81">
        <v>0</v>
      </c>
      <c r="F142" s="81">
        <v>0</v>
      </c>
      <c r="G142" s="81">
        <v>0</v>
      </c>
      <c r="H142" s="81">
        <v>0</v>
      </c>
      <c r="I142" s="81">
        <v>0</v>
      </c>
    </row>
    <row r="143" spans="1:9" ht="12.75">
      <c r="A143" t="s">
        <v>264</v>
      </c>
      <c r="B143" s="235" t="s">
        <v>265</v>
      </c>
      <c r="C143" s="81">
        <v>0</v>
      </c>
      <c r="D143" s="81">
        <v>513882.81</v>
      </c>
      <c r="E143" s="81">
        <v>-513882.81</v>
      </c>
      <c r="F143" s="81">
        <v>0</v>
      </c>
      <c r="G143" s="81">
        <v>513882.81</v>
      </c>
      <c r="H143" s="81">
        <v>-513882.81</v>
      </c>
      <c r="I143" s="81">
        <v>0</v>
      </c>
    </row>
    <row r="144" spans="1:9" ht="12.75">
      <c r="A144" t="s">
        <v>266</v>
      </c>
      <c r="B144" s="235" t="s">
        <v>273</v>
      </c>
      <c r="C144" s="81">
        <v>7040.48</v>
      </c>
      <c r="D144" s="81">
        <v>0</v>
      </c>
      <c r="E144" s="81">
        <v>7040.48</v>
      </c>
      <c r="F144" s="81">
        <v>7040.48</v>
      </c>
      <c r="G144" s="81">
        <v>0</v>
      </c>
      <c r="H144" s="81">
        <v>7040.48</v>
      </c>
      <c r="I144" s="81">
        <v>0</v>
      </c>
    </row>
    <row r="145" spans="1:9" ht="12.75">
      <c r="A145" t="s">
        <v>274</v>
      </c>
      <c r="B145" s="235" t="s">
        <v>275</v>
      </c>
      <c r="C145" s="81">
        <v>57831.17</v>
      </c>
      <c r="D145" s="81">
        <v>511.46</v>
      </c>
      <c r="E145" s="81">
        <v>57319.71</v>
      </c>
      <c r="F145" s="81">
        <v>57831.17</v>
      </c>
      <c r="G145" s="81">
        <v>511.46</v>
      </c>
      <c r="H145" s="81">
        <v>57319.71</v>
      </c>
      <c r="I145" s="81">
        <v>0</v>
      </c>
    </row>
    <row r="146" spans="1:9" ht="12.75">
      <c r="A146" t="s">
        <v>276</v>
      </c>
      <c r="B146" s="235" t="s">
        <v>277</v>
      </c>
      <c r="C146" s="81">
        <v>0</v>
      </c>
      <c r="D146" s="81">
        <v>0</v>
      </c>
      <c r="E146" s="81">
        <v>0</v>
      </c>
      <c r="F146" s="81">
        <v>0</v>
      </c>
      <c r="G146" s="81">
        <v>0</v>
      </c>
      <c r="H146" s="81">
        <v>0</v>
      </c>
      <c r="I146" s="81">
        <v>0</v>
      </c>
    </row>
    <row r="147" spans="1:9" ht="12.75">
      <c r="A147" t="s">
        <v>278</v>
      </c>
      <c r="B147" s="235" t="s">
        <v>279</v>
      </c>
      <c r="C147" s="81">
        <v>418834.31</v>
      </c>
      <c r="D147" s="81">
        <v>0</v>
      </c>
      <c r="E147" s="81">
        <v>418834.31</v>
      </c>
      <c r="F147" s="81">
        <v>418834.31</v>
      </c>
      <c r="G147" s="81">
        <v>0</v>
      </c>
      <c r="H147" s="81">
        <v>418834.31</v>
      </c>
      <c r="I147" s="81">
        <v>0</v>
      </c>
    </row>
    <row r="148" spans="1:9" ht="12.75">
      <c r="A148" t="s">
        <v>280</v>
      </c>
      <c r="B148" s="236" t="s">
        <v>263</v>
      </c>
      <c r="C148" s="237">
        <v>483705.96</v>
      </c>
      <c r="D148" s="237">
        <v>514394.27</v>
      </c>
      <c r="E148" s="237">
        <v>-30688.31</v>
      </c>
      <c r="F148" s="237">
        <v>483705.96</v>
      </c>
      <c r="G148" s="237">
        <v>514394.27</v>
      </c>
      <c r="H148" s="237">
        <v>-30688.31</v>
      </c>
      <c r="I148" s="237">
        <v>0</v>
      </c>
    </row>
    <row r="150" spans="1:9" ht="12.75">
      <c r="A150" t="s">
        <v>281</v>
      </c>
      <c r="B150" s="235" t="s">
        <v>554</v>
      </c>
      <c r="C150" s="81">
        <v>0</v>
      </c>
      <c r="D150" s="81">
        <v>0</v>
      </c>
      <c r="E150" s="81">
        <v>0</v>
      </c>
      <c r="F150" s="81">
        <v>0</v>
      </c>
      <c r="G150" s="81">
        <v>0</v>
      </c>
      <c r="H150" s="81">
        <v>0</v>
      </c>
      <c r="I150" s="81">
        <v>0</v>
      </c>
    </row>
    <row r="151" spans="1:9" ht="12.75">
      <c r="A151" t="s">
        <v>282</v>
      </c>
      <c r="B151" s="235" t="s">
        <v>555</v>
      </c>
      <c r="C151" s="81">
        <v>0</v>
      </c>
      <c r="D151" s="81">
        <v>586574.45</v>
      </c>
      <c r="E151" s="81">
        <v>-586574.45</v>
      </c>
      <c r="F151" s="81">
        <v>0</v>
      </c>
      <c r="G151" s="81">
        <v>586574.45</v>
      </c>
      <c r="H151" s="81">
        <v>-586574.45</v>
      </c>
      <c r="I151" s="81">
        <v>0</v>
      </c>
    </row>
    <row r="152" spans="1:9" ht="12.75">
      <c r="A152" t="s">
        <v>283</v>
      </c>
      <c r="B152" s="235" t="s">
        <v>556</v>
      </c>
      <c r="C152" s="81">
        <v>22070.9</v>
      </c>
      <c r="D152" s="81">
        <v>0</v>
      </c>
      <c r="E152" s="81">
        <v>22070.9</v>
      </c>
      <c r="F152" s="81">
        <v>22070.9</v>
      </c>
      <c r="G152" s="81">
        <v>0</v>
      </c>
      <c r="H152" s="81">
        <v>22070.9</v>
      </c>
      <c r="I152" s="81">
        <v>0</v>
      </c>
    </row>
    <row r="153" spans="1:9" ht="12.75">
      <c r="A153" t="s">
        <v>284</v>
      </c>
      <c r="B153" s="235" t="s">
        <v>558</v>
      </c>
      <c r="C153" s="81">
        <v>15681.05</v>
      </c>
      <c r="D153" s="81">
        <v>37610.77</v>
      </c>
      <c r="E153" s="81">
        <v>-21929.72</v>
      </c>
      <c r="F153" s="81">
        <v>15681.05</v>
      </c>
      <c r="G153" s="81">
        <v>37610.77</v>
      </c>
      <c r="H153" s="81">
        <v>-21929.72</v>
      </c>
      <c r="I153" s="81">
        <v>0</v>
      </c>
    </row>
    <row r="154" spans="1:9" ht="12.75">
      <c r="A154" t="s">
        <v>285</v>
      </c>
      <c r="B154" s="235" t="s">
        <v>559</v>
      </c>
      <c r="C154" s="81">
        <v>0</v>
      </c>
      <c r="D154" s="81">
        <v>0</v>
      </c>
      <c r="E154" s="81">
        <v>0</v>
      </c>
      <c r="F154" s="81">
        <v>0</v>
      </c>
      <c r="G154" s="81">
        <v>0</v>
      </c>
      <c r="H154" s="81">
        <v>0</v>
      </c>
      <c r="I154" s="81">
        <v>0</v>
      </c>
    </row>
    <row r="155" spans="1:9" ht="12.75">
      <c r="A155" t="s">
        <v>286</v>
      </c>
      <c r="B155" s="235" t="s">
        <v>560</v>
      </c>
      <c r="C155" s="81">
        <v>398026.35</v>
      </c>
      <c r="D155" s="81">
        <v>0</v>
      </c>
      <c r="E155" s="81">
        <v>398026.35</v>
      </c>
      <c r="F155" s="81">
        <v>398026.35</v>
      </c>
      <c r="G155" s="81">
        <v>0</v>
      </c>
      <c r="H155" s="81">
        <v>398026.35</v>
      </c>
      <c r="I155" s="81">
        <v>0</v>
      </c>
    </row>
    <row r="156" spans="1:9" ht="12.75">
      <c r="A156" t="s">
        <v>287</v>
      </c>
      <c r="B156" s="235" t="s">
        <v>288</v>
      </c>
      <c r="C156" s="81">
        <v>0</v>
      </c>
      <c r="D156" s="81">
        <v>0</v>
      </c>
      <c r="E156" s="81">
        <v>0</v>
      </c>
      <c r="F156" s="81">
        <v>0</v>
      </c>
      <c r="G156" s="81">
        <v>0</v>
      </c>
      <c r="H156" s="81">
        <v>0</v>
      </c>
      <c r="I156" s="81">
        <v>0</v>
      </c>
    </row>
    <row r="157" spans="1:9" ht="12.75">
      <c r="A157" t="s">
        <v>289</v>
      </c>
      <c r="B157" s="235" t="s">
        <v>290</v>
      </c>
      <c r="C157" s="81">
        <v>0</v>
      </c>
      <c r="D157" s="81">
        <v>0</v>
      </c>
      <c r="E157" s="81">
        <v>0</v>
      </c>
      <c r="F157" s="81">
        <v>0</v>
      </c>
      <c r="G157" s="81">
        <v>0</v>
      </c>
      <c r="H157" s="81">
        <v>0</v>
      </c>
      <c r="I157" s="81">
        <v>0</v>
      </c>
    </row>
    <row r="158" spans="1:9" ht="12.75">
      <c r="A158" t="s">
        <v>291</v>
      </c>
      <c r="B158" s="235" t="s">
        <v>292</v>
      </c>
      <c r="C158" s="81">
        <v>0</v>
      </c>
      <c r="D158" s="81">
        <v>0</v>
      </c>
      <c r="E158" s="81">
        <v>0</v>
      </c>
      <c r="F158" s="81">
        <v>0</v>
      </c>
      <c r="G158" s="81">
        <v>0</v>
      </c>
      <c r="H158" s="81">
        <v>0</v>
      </c>
      <c r="I158" s="81">
        <v>0</v>
      </c>
    </row>
    <row r="159" spans="1:9" ht="12.75">
      <c r="A159" t="s">
        <v>293</v>
      </c>
      <c r="B159" s="235" t="s">
        <v>355</v>
      </c>
      <c r="C159" s="81">
        <v>0</v>
      </c>
      <c r="D159" s="81">
        <v>0</v>
      </c>
      <c r="E159" s="81">
        <v>0</v>
      </c>
      <c r="F159" s="81">
        <v>0</v>
      </c>
      <c r="G159" s="81">
        <v>0</v>
      </c>
      <c r="H159" s="81">
        <v>0</v>
      </c>
      <c r="I159" s="81">
        <v>0</v>
      </c>
    </row>
    <row r="160" spans="1:9" ht="12.75">
      <c r="A160" t="s">
        <v>356</v>
      </c>
      <c r="B160" s="236" t="s">
        <v>554</v>
      </c>
      <c r="C160" s="237">
        <v>435778.3</v>
      </c>
      <c r="D160" s="237">
        <v>624185.22</v>
      </c>
      <c r="E160" s="237">
        <v>-188406.92</v>
      </c>
      <c r="F160" s="237">
        <v>435778.3</v>
      </c>
      <c r="G160" s="237">
        <v>624185.22</v>
      </c>
      <c r="H160" s="237">
        <v>-188406.92</v>
      </c>
      <c r="I160" s="237">
        <v>0</v>
      </c>
    </row>
    <row r="162" spans="1:9" ht="12.75">
      <c r="A162" t="s">
        <v>561</v>
      </c>
      <c r="B162" s="235" t="s">
        <v>562</v>
      </c>
      <c r="C162" s="81">
        <v>0</v>
      </c>
      <c r="D162" s="81">
        <v>0</v>
      </c>
      <c r="E162" s="81">
        <v>0</v>
      </c>
      <c r="F162" s="81">
        <v>0</v>
      </c>
      <c r="G162" s="81">
        <v>0</v>
      </c>
      <c r="H162" s="81">
        <v>0</v>
      </c>
      <c r="I162" s="81">
        <v>0</v>
      </c>
    </row>
    <row r="163" spans="1:9" ht="12.75">
      <c r="A163" t="s">
        <v>563</v>
      </c>
      <c r="B163" s="235" t="s">
        <v>562</v>
      </c>
      <c r="C163" s="81">
        <v>13118643.92</v>
      </c>
      <c r="D163" s="81">
        <v>12330053.78</v>
      </c>
      <c r="E163" s="81">
        <v>788590.14</v>
      </c>
      <c r="F163" s="81">
        <v>13118643.92</v>
      </c>
      <c r="G163" s="81">
        <v>12330053.78</v>
      </c>
      <c r="H163" s="81">
        <v>788590.14</v>
      </c>
      <c r="I163" s="81">
        <v>0</v>
      </c>
    </row>
    <row r="164" spans="1:9" ht="12.75">
      <c r="A164" t="s">
        <v>564</v>
      </c>
      <c r="B164" s="236" t="s">
        <v>562</v>
      </c>
      <c r="C164" s="237">
        <v>13118643.92</v>
      </c>
      <c r="D164" s="237">
        <v>12330053.78</v>
      </c>
      <c r="E164" s="237">
        <v>788590.14</v>
      </c>
      <c r="F164" s="237">
        <v>13118643.92</v>
      </c>
      <c r="G164" s="237">
        <v>12330053.78</v>
      </c>
      <c r="H164" s="237">
        <v>788590.14</v>
      </c>
      <c r="I164" s="237">
        <v>0</v>
      </c>
    </row>
    <row r="166" spans="1:9" ht="12.75">
      <c r="A166" t="s">
        <v>1336</v>
      </c>
      <c r="B166" s="235" t="s">
        <v>1339</v>
      </c>
      <c r="C166" s="81">
        <v>14114556.01</v>
      </c>
      <c r="D166" s="81">
        <v>6635708.76</v>
      </c>
      <c r="E166" s="81">
        <v>7478847.25</v>
      </c>
      <c r="F166" s="81">
        <v>14114556.01</v>
      </c>
      <c r="G166" s="81">
        <v>6635708.76</v>
      </c>
      <c r="H166" s="81">
        <v>7478847.25</v>
      </c>
      <c r="I166" s="81">
        <v>0</v>
      </c>
    </row>
    <row r="167" spans="1:9" ht="12.75">
      <c r="A167" t="s">
        <v>1340</v>
      </c>
      <c r="B167" s="236" t="s">
        <v>488</v>
      </c>
      <c r="C167" s="237">
        <v>14114556.01</v>
      </c>
      <c r="D167" s="237">
        <v>6635708.76</v>
      </c>
      <c r="E167" s="237">
        <v>7478847.25</v>
      </c>
      <c r="F167" s="237">
        <v>14114556.01</v>
      </c>
      <c r="G167" s="237">
        <v>6635708.76</v>
      </c>
      <c r="H167" s="237">
        <v>7478847.25</v>
      </c>
      <c r="I167" s="237">
        <v>0</v>
      </c>
    </row>
    <row r="169" spans="1:9" ht="12.75">
      <c r="A169" t="s">
        <v>1341</v>
      </c>
      <c r="B169" s="235" t="s">
        <v>1342</v>
      </c>
      <c r="C169" s="81">
        <v>11237102.43</v>
      </c>
      <c r="D169" s="81">
        <v>3996218.7</v>
      </c>
      <c r="E169" s="81">
        <v>7240883.73</v>
      </c>
      <c r="F169" s="81">
        <v>11237102.43</v>
      </c>
      <c r="G169" s="81">
        <v>3996218.7</v>
      </c>
      <c r="H169" s="81">
        <v>7240883.73</v>
      </c>
      <c r="I169" s="81">
        <v>0</v>
      </c>
    </row>
    <row r="170" spans="1:9" ht="12.75">
      <c r="A170" t="s">
        <v>1343</v>
      </c>
      <c r="B170" s="236" t="s">
        <v>488</v>
      </c>
      <c r="C170" s="237">
        <v>11237102.43</v>
      </c>
      <c r="D170" s="237">
        <v>3996218.7</v>
      </c>
      <c r="E170" s="237">
        <v>7240883.73</v>
      </c>
      <c r="F170" s="237">
        <v>11237102.43</v>
      </c>
      <c r="G170" s="237">
        <v>3996218.7</v>
      </c>
      <c r="H170" s="237">
        <v>7240883.73</v>
      </c>
      <c r="I170" s="237">
        <v>0</v>
      </c>
    </row>
    <row r="172" spans="1:9" ht="12.75">
      <c r="A172" t="s">
        <v>357</v>
      </c>
      <c r="B172" s="235" t="s">
        <v>358</v>
      </c>
      <c r="C172" s="81">
        <v>0</v>
      </c>
      <c r="D172" s="81">
        <v>0</v>
      </c>
      <c r="E172" s="81">
        <v>0</v>
      </c>
      <c r="F172" s="81">
        <v>0</v>
      </c>
      <c r="G172" s="81">
        <v>0</v>
      </c>
      <c r="H172" s="81">
        <v>0</v>
      </c>
      <c r="I172" s="81">
        <v>0</v>
      </c>
    </row>
    <row r="173" spans="1:9" ht="12.75">
      <c r="A173" t="s">
        <v>359</v>
      </c>
      <c r="B173" s="235" t="s">
        <v>360</v>
      </c>
      <c r="C173" s="81">
        <v>0</v>
      </c>
      <c r="D173" s="81">
        <v>0</v>
      </c>
      <c r="E173" s="81">
        <v>0</v>
      </c>
      <c r="F173" s="81">
        <v>0</v>
      </c>
      <c r="G173" s="81">
        <v>0</v>
      </c>
      <c r="H173" s="81">
        <v>0</v>
      </c>
      <c r="I173" s="81">
        <v>0</v>
      </c>
    </row>
    <row r="174" spans="1:9" ht="12.75">
      <c r="A174" t="s">
        <v>361</v>
      </c>
      <c r="B174" s="236" t="s">
        <v>358</v>
      </c>
      <c r="C174" s="237">
        <v>0</v>
      </c>
      <c r="D174" s="237">
        <v>0</v>
      </c>
      <c r="E174" s="237">
        <v>0</v>
      </c>
      <c r="F174" s="237">
        <v>0</v>
      </c>
      <c r="G174" s="237">
        <v>0</v>
      </c>
      <c r="H174" s="237">
        <v>0</v>
      </c>
      <c r="I174" s="237">
        <v>0</v>
      </c>
    </row>
    <row r="176" spans="1:9" ht="12.75">
      <c r="A176" t="s">
        <v>362</v>
      </c>
      <c r="B176" s="235" t="s">
        <v>363</v>
      </c>
      <c r="C176" s="81">
        <v>0</v>
      </c>
      <c r="D176" s="81">
        <v>0</v>
      </c>
      <c r="E176" s="81">
        <v>0</v>
      </c>
      <c r="F176" s="81">
        <v>0</v>
      </c>
      <c r="G176" s="81">
        <v>0</v>
      </c>
      <c r="H176" s="81">
        <v>0</v>
      </c>
      <c r="I176" s="81">
        <v>0</v>
      </c>
    </row>
    <row r="177" spans="1:9" ht="12.75">
      <c r="A177" t="s">
        <v>364</v>
      </c>
      <c r="B177" s="235" t="s">
        <v>28</v>
      </c>
      <c r="C177" s="81">
        <v>673158</v>
      </c>
      <c r="D177" s="81">
        <v>673158</v>
      </c>
      <c r="E177" s="81">
        <v>0</v>
      </c>
      <c r="F177" s="81">
        <v>673158</v>
      </c>
      <c r="G177" s="81">
        <v>673158</v>
      </c>
      <c r="H177" s="81">
        <v>0</v>
      </c>
      <c r="I177" s="81">
        <v>0</v>
      </c>
    </row>
    <row r="178" spans="1:9" ht="12.75">
      <c r="A178" t="s">
        <v>365</v>
      </c>
      <c r="B178" s="235" t="s">
        <v>366</v>
      </c>
      <c r="C178" s="81">
        <v>0</v>
      </c>
      <c r="D178" s="81">
        <v>12.53</v>
      </c>
      <c r="E178" s="81">
        <v>-12.53</v>
      </c>
      <c r="F178" s="81">
        <v>0</v>
      </c>
      <c r="G178" s="81">
        <v>12.53</v>
      </c>
      <c r="H178" s="81">
        <v>-12.53</v>
      </c>
      <c r="I178" s="81">
        <v>0</v>
      </c>
    </row>
    <row r="179" spans="1:9" ht="12.75">
      <c r="A179" t="s">
        <v>367</v>
      </c>
      <c r="B179" s="235" t="s">
        <v>368</v>
      </c>
      <c r="C179" s="81">
        <v>0</v>
      </c>
      <c r="D179" s="81">
        <v>0</v>
      </c>
      <c r="E179" s="81">
        <v>0</v>
      </c>
      <c r="F179" s="81">
        <v>0</v>
      </c>
      <c r="G179" s="81">
        <v>0</v>
      </c>
      <c r="H179" s="81">
        <v>0</v>
      </c>
      <c r="I179" s="81">
        <v>0</v>
      </c>
    </row>
    <row r="180" spans="1:9" ht="12.75">
      <c r="A180" t="s">
        <v>369</v>
      </c>
      <c r="B180" s="236" t="s">
        <v>363</v>
      </c>
      <c r="C180" s="237">
        <v>673158</v>
      </c>
      <c r="D180" s="237">
        <v>673170.53</v>
      </c>
      <c r="E180" s="237">
        <v>-12.53</v>
      </c>
      <c r="F180" s="237">
        <v>673158</v>
      </c>
      <c r="G180" s="237">
        <v>673170.53</v>
      </c>
      <c r="H180" s="237">
        <v>-12.53</v>
      </c>
      <c r="I180" s="237">
        <v>0</v>
      </c>
    </row>
    <row r="182" spans="1:9" ht="12.75">
      <c r="A182" t="s">
        <v>485</v>
      </c>
      <c r="B182" s="235" t="s">
        <v>486</v>
      </c>
      <c r="C182" s="81">
        <v>0</v>
      </c>
      <c r="D182" s="81">
        <v>0</v>
      </c>
      <c r="E182" s="81">
        <v>0</v>
      </c>
      <c r="F182" s="81">
        <v>0</v>
      </c>
      <c r="G182" s="81">
        <v>0</v>
      </c>
      <c r="H182" s="81">
        <v>0</v>
      </c>
      <c r="I182" s="81">
        <v>0</v>
      </c>
    </row>
    <row r="183" spans="1:9" ht="12.75">
      <c r="A183" t="s">
        <v>487</v>
      </c>
      <c r="B183" s="236" t="s">
        <v>488</v>
      </c>
      <c r="C183" s="237">
        <v>0</v>
      </c>
      <c r="D183" s="237">
        <v>0</v>
      </c>
      <c r="E183" s="237">
        <v>0</v>
      </c>
      <c r="F183" s="237">
        <v>0</v>
      </c>
      <c r="G183" s="237">
        <v>0</v>
      </c>
      <c r="H183" s="237">
        <v>0</v>
      </c>
      <c r="I183" s="237">
        <v>0</v>
      </c>
    </row>
    <row r="185" spans="1:9" ht="12.75">
      <c r="A185" t="s">
        <v>565</v>
      </c>
      <c r="B185" s="235" t="s">
        <v>566</v>
      </c>
      <c r="C185" s="81">
        <v>0</v>
      </c>
      <c r="D185" s="81">
        <v>0</v>
      </c>
      <c r="E185" s="81">
        <v>0</v>
      </c>
      <c r="F185" s="81">
        <v>0</v>
      </c>
      <c r="G185" s="81">
        <v>0</v>
      </c>
      <c r="H185" s="81">
        <v>0</v>
      </c>
      <c r="I185" s="81">
        <v>0</v>
      </c>
    </row>
    <row r="186" spans="1:9" ht="12.75">
      <c r="A186" t="s">
        <v>567</v>
      </c>
      <c r="B186" s="235" t="s">
        <v>566</v>
      </c>
      <c r="C186" s="81">
        <v>2639179.45</v>
      </c>
      <c r="D186" s="81">
        <v>614771.7</v>
      </c>
      <c r="E186" s="81">
        <v>2024407.75</v>
      </c>
      <c r="F186" s="81">
        <v>2639179.45</v>
      </c>
      <c r="G186" s="81">
        <v>614771.7</v>
      </c>
      <c r="H186" s="81">
        <v>2024407.75</v>
      </c>
      <c r="I186" s="81">
        <v>0</v>
      </c>
    </row>
    <row r="187" spans="1:9" ht="12.75">
      <c r="A187" t="s">
        <v>568</v>
      </c>
      <c r="B187" s="236" t="s">
        <v>566</v>
      </c>
      <c r="C187" s="237">
        <v>2639179.45</v>
      </c>
      <c r="D187" s="237">
        <v>614771.7</v>
      </c>
      <c r="E187" s="237">
        <v>2024407.75</v>
      </c>
      <c r="F187" s="237">
        <v>2639179.45</v>
      </c>
      <c r="G187" s="237">
        <v>614771.7</v>
      </c>
      <c r="H187" s="237">
        <v>2024407.75</v>
      </c>
      <c r="I187" s="237">
        <v>0</v>
      </c>
    </row>
    <row r="189" spans="1:9" ht="12.75">
      <c r="A189" t="s">
        <v>1377</v>
      </c>
      <c r="B189" s="235" t="s">
        <v>1378</v>
      </c>
      <c r="C189" s="81">
        <v>145814</v>
      </c>
      <c r="D189" s="81">
        <v>0</v>
      </c>
      <c r="E189" s="81">
        <v>145814</v>
      </c>
      <c r="F189" s="81">
        <v>145814</v>
      </c>
      <c r="G189" s="81">
        <v>0</v>
      </c>
      <c r="H189" s="81">
        <v>145814</v>
      </c>
      <c r="I189" s="81">
        <v>0</v>
      </c>
    </row>
    <row r="190" spans="1:9" ht="12.75">
      <c r="A190" t="s">
        <v>1379</v>
      </c>
      <c r="B190" s="235" t="s">
        <v>1380</v>
      </c>
      <c r="C190" s="81">
        <v>3700</v>
      </c>
      <c r="D190" s="81">
        <v>300</v>
      </c>
      <c r="E190" s="81">
        <v>3400</v>
      </c>
      <c r="F190" s="81">
        <v>3700</v>
      </c>
      <c r="G190" s="81">
        <v>300</v>
      </c>
      <c r="H190" s="81">
        <v>3400</v>
      </c>
      <c r="I190" s="81">
        <v>0</v>
      </c>
    </row>
    <row r="191" spans="1:9" ht="12.75">
      <c r="A191" t="s">
        <v>1381</v>
      </c>
      <c r="B191" s="235" t="s">
        <v>1382</v>
      </c>
      <c r="C191" s="81">
        <v>0</v>
      </c>
      <c r="D191" s="81">
        <v>0</v>
      </c>
      <c r="E191" s="81">
        <v>0</v>
      </c>
      <c r="F191" s="81">
        <v>0</v>
      </c>
      <c r="G191" s="81">
        <v>0</v>
      </c>
      <c r="H191" s="81">
        <v>0</v>
      </c>
      <c r="I191" s="81">
        <v>0</v>
      </c>
    </row>
    <row r="192" spans="1:9" ht="12.75">
      <c r="A192" t="s">
        <v>1383</v>
      </c>
      <c r="B192" s="236" t="s">
        <v>488</v>
      </c>
      <c r="C192" s="237">
        <v>149514</v>
      </c>
      <c r="D192" s="237">
        <v>300</v>
      </c>
      <c r="E192" s="237">
        <v>149214</v>
      </c>
      <c r="F192" s="237">
        <v>149514</v>
      </c>
      <c r="G192" s="237">
        <v>300</v>
      </c>
      <c r="H192" s="237">
        <v>149214</v>
      </c>
      <c r="I192" s="237">
        <v>0</v>
      </c>
    </row>
    <row r="194" spans="1:9" ht="12.75">
      <c r="A194" t="s">
        <v>1080</v>
      </c>
      <c r="B194" s="235" t="s">
        <v>1081</v>
      </c>
      <c r="C194" s="81">
        <v>0</v>
      </c>
      <c r="D194" s="81">
        <v>0</v>
      </c>
      <c r="E194" s="81">
        <v>0</v>
      </c>
      <c r="F194" s="81">
        <v>0</v>
      </c>
      <c r="G194" s="81">
        <v>0</v>
      </c>
      <c r="H194" s="81">
        <v>0</v>
      </c>
      <c r="I194" s="81">
        <v>0</v>
      </c>
    </row>
    <row r="195" spans="1:9" ht="12.75">
      <c r="A195" t="s">
        <v>1082</v>
      </c>
      <c r="B195" s="235" t="s">
        <v>1083</v>
      </c>
      <c r="C195" s="81">
        <v>606164.76</v>
      </c>
      <c r="D195" s="81">
        <v>18817283.9</v>
      </c>
      <c r="E195" s="81">
        <v>-18211119.14</v>
      </c>
      <c r="F195" s="81">
        <v>606164.76</v>
      </c>
      <c r="G195" s="81">
        <v>18817283.9</v>
      </c>
      <c r="H195" s="81">
        <v>-18211119.14</v>
      </c>
      <c r="I195" s="81">
        <v>0</v>
      </c>
    </row>
    <row r="196" spans="1:9" ht="12.75">
      <c r="A196" t="s">
        <v>1084</v>
      </c>
      <c r="B196" s="236" t="s">
        <v>1081</v>
      </c>
      <c r="C196" s="237">
        <v>606164.76</v>
      </c>
      <c r="D196" s="237">
        <v>18817283.9</v>
      </c>
      <c r="E196" s="237">
        <v>-18211119.14</v>
      </c>
      <c r="F196" s="237">
        <v>606164.76</v>
      </c>
      <c r="G196" s="237">
        <v>18817283.9</v>
      </c>
      <c r="H196" s="237">
        <v>-18211119.14</v>
      </c>
      <c r="I196" s="237">
        <v>0</v>
      </c>
    </row>
    <row r="198" spans="1:9" ht="12.75">
      <c r="A198" t="s">
        <v>569</v>
      </c>
      <c r="B198" s="235" t="s">
        <v>570</v>
      </c>
      <c r="C198" s="81">
        <v>0</v>
      </c>
      <c r="D198" s="81">
        <v>0</v>
      </c>
      <c r="E198" s="81">
        <v>0</v>
      </c>
      <c r="F198" s="81">
        <v>0</v>
      </c>
      <c r="G198" s="81">
        <v>0</v>
      </c>
      <c r="H198" s="81">
        <v>0</v>
      </c>
      <c r="I198" s="81">
        <v>0</v>
      </c>
    </row>
    <row r="199" spans="1:9" ht="12.75">
      <c r="A199" t="s">
        <v>571</v>
      </c>
      <c r="B199" s="235" t="s">
        <v>874</v>
      </c>
      <c r="C199" s="81">
        <v>0</v>
      </c>
      <c r="D199" s="81">
        <v>0</v>
      </c>
      <c r="E199" s="81">
        <v>0</v>
      </c>
      <c r="F199" s="81">
        <v>0</v>
      </c>
      <c r="G199" s="81">
        <v>0</v>
      </c>
      <c r="H199" s="81">
        <v>0</v>
      </c>
      <c r="I199" s="81">
        <v>0</v>
      </c>
    </row>
    <row r="200" spans="1:9" ht="12.75">
      <c r="A200" t="s">
        <v>370</v>
      </c>
      <c r="B200" s="235" t="s">
        <v>572</v>
      </c>
      <c r="C200" s="81">
        <v>3936782.83</v>
      </c>
      <c r="D200" s="81">
        <v>3763580.84</v>
      </c>
      <c r="E200" s="81">
        <v>173201.99</v>
      </c>
      <c r="F200" s="81">
        <v>3936782.83</v>
      </c>
      <c r="G200" s="81">
        <v>3763580.84</v>
      </c>
      <c r="H200" s="81">
        <v>173201.99</v>
      </c>
      <c r="I200" s="81">
        <v>0</v>
      </c>
    </row>
    <row r="201" spans="1:9" ht="12.75">
      <c r="A201" t="s">
        <v>1085</v>
      </c>
      <c r="B201" s="235" t="s">
        <v>1086</v>
      </c>
      <c r="C201" s="81">
        <v>0</v>
      </c>
      <c r="D201" s="81">
        <v>0</v>
      </c>
      <c r="E201" s="81">
        <v>0</v>
      </c>
      <c r="F201" s="81">
        <v>0</v>
      </c>
      <c r="G201" s="81">
        <v>0</v>
      </c>
      <c r="H201" s="81">
        <v>0</v>
      </c>
      <c r="I201" s="81">
        <v>0</v>
      </c>
    </row>
    <row r="202" spans="1:9" ht="12.75">
      <c r="A202" t="s">
        <v>371</v>
      </c>
      <c r="B202" s="236" t="s">
        <v>570</v>
      </c>
      <c r="C202" s="237">
        <v>3936782.83</v>
      </c>
      <c r="D202" s="237">
        <v>3763580.84</v>
      </c>
      <c r="E202" s="237">
        <v>173201.99</v>
      </c>
      <c r="F202" s="237">
        <v>3936782.83</v>
      </c>
      <c r="G202" s="237">
        <v>3763580.84</v>
      </c>
      <c r="H202" s="237">
        <v>173201.99</v>
      </c>
      <c r="I202" s="237">
        <v>0</v>
      </c>
    </row>
    <row r="204" spans="1:9" ht="12.75">
      <c r="A204" t="s">
        <v>1330</v>
      </c>
      <c r="B204" s="235" t="s">
        <v>1331</v>
      </c>
      <c r="C204" s="81">
        <v>0</v>
      </c>
      <c r="D204" s="81">
        <v>0</v>
      </c>
      <c r="E204" s="81">
        <v>0</v>
      </c>
      <c r="F204" s="81">
        <v>0</v>
      </c>
      <c r="G204" s="81">
        <v>0</v>
      </c>
      <c r="H204" s="81">
        <v>0</v>
      </c>
      <c r="I204" s="81">
        <v>0</v>
      </c>
    </row>
    <row r="205" spans="1:9" ht="12.75">
      <c r="A205" t="s">
        <v>1332</v>
      </c>
      <c r="B205" s="236" t="s">
        <v>488</v>
      </c>
      <c r="C205" s="237">
        <v>0</v>
      </c>
      <c r="D205" s="237">
        <v>0</v>
      </c>
      <c r="E205" s="237">
        <v>0</v>
      </c>
      <c r="F205" s="237">
        <v>0</v>
      </c>
      <c r="G205" s="237">
        <v>0</v>
      </c>
      <c r="H205" s="237">
        <v>0</v>
      </c>
      <c r="I205" s="237">
        <v>0</v>
      </c>
    </row>
    <row r="207" spans="1:9" ht="12.75">
      <c r="A207" t="s">
        <v>813</v>
      </c>
      <c r="B207" s="235" t="s">
        <v>573</v>
      </c>
      <c r="C207" s="81">
        <v>0</v>
      </c>
      <c r="D207" s="81">
        <v>0</v>
      </c>
      <c r="E207" s="81">
        <v>0</v>
      </c>
      <c r="F207" s="81">
        <v>0</v>
      </c>
      <c r="G207" s="81">
        <v>0</v>
      </c>
      <c r="H207" s="81">
        <v>0</v>
      </c>
      <c r="I207" s="81">
        <v>0</v>
      </c>
    </row>
    <row r="208" spans="1:9" ht="12.75">
      <c r="A208" t="s">
        <v>814</v>
      </c>
      <c r="B208" s="235" t="s">
        <v>574</v>
      </c>
      <c r="C208" s="81">
        <v>46974481.25</v>
      </c>
      <c r="D208" s="81">
        <v>0</v>
      </c>
      <c r="E208" s="81">
        <v>46974481.25</v>
      </c>
      <c r="F208" s="81">
        <v>46974481.25</v>
      </c>
      <c r="G208" s="81">
        <v>0</v>
      </c>
      <c r="H208" s="81">
        <v>46974481.25</v>
      </c>
      <c r="I208" s="81">
        <v>0</v>
      </c>
    </row>
    <row r="209" spans="1:9" ht="12.75">
      <c r="A209" t="s">
        <v>815</v>
      </c>
      <c r="B209" s="235" t="s">
        <v>575</v>
      </c>
      <c r="C209" s="81">
        <v>0</v>
      </c>
      <c r="D209" s="81">
        <v>120929115.42</v>
      </c>
      <c r="E209" s="81">
        <v>-120929115.42</v>
      </c>
      <c r="F209" s="81">
        <v>0</v>
      </c>
      <c r="G209" s="81">
        <v>120929115.42</v>
      </c>
      <c r="H209" s="81">
        <v>-120929115.42</v>
      </c>
      <c r="I209" s="81">
        <v>0</v>
      </c>
    </row>
    <row r="210" spans="1:9" ht="12.75">
      <c r="A210" t="s">
        <v>816</v>
      </c>
      <c r="B210" s="235" t="s">
        <v>817</v>
      </c>
      <c r="C210" s="81">
        <v>74425320.83</v>
      </c>
      <c r="D210" s="81">
        <v>0</v>
      </c>
      <c r="E210" s="81">
        <v>74425320.83</v>
      </c>
      <c r="F210" s="81">
        <v>74425320.83</v>
      </c>
      <c r="G210" s="81">
        <v>0</v>
      </c>
      <c r="H210" s="81">
        <v>74425320.83</v>
      </c>
      <c r="I210" s="81">
        <v>0</v>
      </c>
    </row>
    <row r="211" spans="1:9" ht="12.75">
      <c r="A211" t="s">
        <v>818</v>
      </c>
      <c r="B211" s="236" t="s">
        <v>573</v>
      </c>
      <c r="C211" s="237">
        <v>121399802.08</v>
      </c>
      <c r="D211" s="237">
        <v>120929115.42</v>
      </c>
      <c r="E211" s="237">
        <v>470686.66</v>
      </c>
      <c r="F211" s="237">
        <v>121399802.08</v>
      </c>
      <c r="G211" s="237">
        <v>120929115.42</v>
      </c>
      <c r="H211" s="237">
        <v>470686.66</v>
      </c>
      <c r="I211" s="237">
        <v>0</v>
      </c>
    </row>
    <row r="213" spans="1:9" ht="12.75">
      <c r="A213" t="s">
        <v>819</v>
      </c>
      <c r="B213" s="235" t="s">
        <v>820</v>
      </c>
      <c r="C213" s="81">
        <v>0</v>
      </c>
      <c r="D213" s="81">
        <v>0</v>
      </c>
      <c r="E213" s="81">
        <v>0</v>
      </c>
      <c r="F213" s="81">
        <v>0</v>
      </c>
      <c r="G213" s="81">
        <v>0</v>
      </c>
      <c r="H213" s="81">
        <v>0</v>
      </c>
      <c r="I213" s="81">
        <v>0</v>
      </c>
    </row>
    <row r="214" spans="1:9" ht="12.75">
      <c r="A214" t="s">
        <v>821</v>
      </c>
      <c r="B214" s="235" t="s">
        <v>822</v>
      </c>
      <c r="C214" s="81">
        <v>158099.93</v>
      </c>
      <c r="D214" s="81">
        <v>141704.71</v>
      </c>
      <c r="E214" s="81">
        <v>16395.22</v>
      </c>
      <c r="F214" s="81">
        <v>158099.93</v>
      </c>
      <c r="G214" s="81">
        <v>141704.71</v>
      </c>
      <c r="H214" s="81">
        <v>16395.22</v>
      </c>
      <c r="I214" s="81">
        <v>0</v>
      </c>
    </row>
    <row r="215" spans="1:9" ht="12.75">
      <c r="A215" t="s">
        <v>823</v>
      </c>
      <c r="B215" s="236" t="s">
        <v>820</v>
      </c>
      <c r="C215" s="237">
        <v>158099.93</v>
      </c>
      <c r="D215" s="237">
        <v>141704.71</v>
      </c>
      <c r="E215" s="237">
        <v>16395.22</v>
      </c>
      <c r="F215" s="237">
        <v>158099.93</v>
      </c>
      <c r="G215" s="237">
        <v>141704.71</v>
      </c>
      <c r="H215" s="237">
        <v>16395.22</v>
      </c>
      <c r="I215" s="237">
        <v>0</v>
      </c>
    </row>
    <row r="217" spans="1:9" ht="12.75">
      <c r="A217" t="s">
        <v>824</v>
      </c>
      <c r="B217" s="235" t="s">
        <v>576</v>
      </c>
      <c r="C217" s="81">
        <v>0</v>
      </c>
      <c r="D217" s="81">
        <v>0</v>
      </c>
      <c r="E217" s="81">
        <v>0</v>
      </c>
      <c r="F217" s="81">
        <v>0</v>
      </c>
      <c r="G217" s="81">
        <v>0</v>
      </c>
      <c r="H217" s="81">
        <v>0</v>
      </c>
      <c r="I217" s="81">
        <v>0</v>
      </c>
    </row>
    <row r="218" spans="1:9" ht="12.75">
      <c r="A218" t="s">
        <v>825</v>
      </c>
      <c r="B218" s="235" t="s">
        <v>577</v>
      </c>
      <c r="C218" s="81">
        <v>90025612.8</v>
      </c>
      <c r="D218" s="81">
        <v>332012.04</v>
      </c>
      <c r="E218" s="81">
        <v>89693600.76</v>
      </c>
      <c r="F218" s="81">
        <v>90025612.8</v>
      </c>
      <c r="G218" s="81">
        <v>332012.04</v>
      </c>
      <c r="H218" s="81">
        <v>89693600.76</v>
      </c>
      <c r="I218" s="81">
        <v>0</v>
      </c>
    </row>
    <row r="219" spans="1:9" ht="12.75">
      <c r="A219" t="s">
        <v>826</v>
      </c>
      <c r="B219" s="235" t="s">
        <v>578</v>
      </c>
      <c r="C219" s="81">
        <v>0</v>
      </c>
      <c r="D219" s="81">
        <v>130584772.65</v>
      </c>
      <c r="E219" s="81">
        <v>-130584772.65</v>
      </c>
      <c r="F219" s="81">
        <v>0</v>
      </c>
      <c r="G219" s="81">
        <v>130584772.65</v>
      </c>
      <c r="H219" s="81">
        <v>-130584772.65</v>
      </c>
      <c r="I219" s="81">
        <v>0</v>
      </c>
    </row>
    <row r="220" spans="1:9" ht="12.75">
      <c r="A220" t="s">
        <v>827</v>
      </c>
      <c r="B220" s="235" t="s">
        <v>579</v>
      </c>
      <c r="C220" s="81">
        <v>42351256.58</v>
      </c>
      <c r="D220" s="81">
        <v>0</v>
      </c>
      <c r="E220" s="81">
        <v>42351256.58</v>
      </c>
      <c r="F220" s="81">
        <v>42351256.58</v>
      </c>
      <c r="G220" s="81">
        <v>0</v>
      </c>
      <c r="H220" s="81">
        <v>42351256.58</v>
      </c>
      <c r="I220" s="81">
        <v>0</v>
      </c>
    </row>
    <row r="221" spans="1:9" ht="12.75">
      <c r="A221" t="s">
        <v>828</v>
      </c>
      <c r="B221" s="236" t="s">
        <v>576</v>
      </c>
      <c r="C221" s="237">
        <v>132376869.38</v>
      </c>
      <c r="D221" s="237">
        <v>130916784.69</v>
      </c>
      <c r="E221" s="237">
        <v>1460084.69</v>
      </c>
      <c r="F221" s="237">
        <v>132376869.38</v>
      </c>
      <c r="G221" s="237">
        <v>130916784.69</v>
      </c>
      <c r="H221" s="237">
        <v>1460084.69</v>
      </c>
      <c r="I221" s="237">
        <v>0</v>
      </c>
    </row>
    <row r="223" spans="1:9" ht="12.75">
      <c r="A223" t="s">
        <v>829</v>
      </c>
      <c r="B223" s="235" t="s">
        <v>830</v>
      </c>
      <c r="C223" s="81">
        <v>0</v>
      </c>
      <c r="D223" s="81">
        <v>0</v>
      </c>
      <c r="E223" s="81">
        <v>0</v>
      </c>
      <c r="F223" s="81">
        <v>0</v>
      </c>
      <c r="G223" s="81">
        <v>0</v>
      </c>
      <c r="H223" s="81">
        <v>0</v>
      </c>
      <c r="I223" s="81">
        <v>0</v>
      </c>
    </row>
    <row r="224" spans="1:9" ht="12.75">
      <c r="A224" t="s">
        <v>831</v>
      </c>
      <c r="B224" s="235" t="s">
        <v>507</v>
      </c>
      <c r="C224" s="81">
        <v>0</v>
      </c>
      <c r="D224" s="81">
        <v>0</v>
      </c>
      <c r="E224" s="81">
        <v>0</v>
      </c>
      <c r="F224" s="81">
        <v>0</v>
      </c>
      <c r="G224" s="81">
        <v>0</v>
      </c>
      <c r="H224" s="81">
        <v>0</v>
      </c>
      <c r="I224" s="81">
        <v>0</v>
      </c>
    </row>
    <row r="225" spans="1:9" ht="12.75">
      <c r="A225" t="s">
        <v>832</v>
      </c>
      <c r="B225" s="235" t="s">
        <v>508</v>
      </c>
      <c r="C225" s="81">
        <v>0</v>
      </c>
      <c r="D225" s="81">
        <v>0</v>
      </c>
      <c r="E225" s="81">
        <v>0</v>
      </c>
      <c r="F225" s="81">
        <v>0</v>
      </c>
      <c r="G225" s="81">
        <v>0</v>
      </c>
      <c r="H225" s="81">
        <v>0</v>
      </c>
      <c r="I225" s="81">
        <v>0</v>
      </c>
    </row>
    <row r="226" spans="1:9" ht="12.75">
      <c r="A226" t="s">
        <v>1384</v>
      </c>
      <c r="B226" s="235" t="s">
        <v>1385</v>
      </c>
      <c r="C226" s="81">
        <v>0</v>
      </c>
      <c r="D226" s="81">
        <v>0</v>
      </c>
      <c r="E226" s="81">
        <v>0</v>
      </c>
      <c r="F226" s="81">
        <v>0</v>
      </c>
      <c r="G226" s="81">
        <v>0</v>
      </c>
      <c r="H226" s="81">
        <v>0</v>
      </c>
      <c r="I226" s="81">
        <v>0</v>
      </c>
    </row>
    <row r="227" spans="1:9" ht="12.75">
      <c r="A227" t="s">
        <v>833</v>
      </c>
      <c r="B227" s="235" t="s">
        <v>509</v>
      </c>
      <c r="C227" s="81">
        <v>2532199.72</v>
      </c>
      <c r="D227" s="81">
        <v>2647456.26</v>
      </c>
      <c r="E227" s="81">
        <v>-115256.54</v>
      </c>
      <c r="F227" s="81">
        <v>2532199.72</v>
      </c>
      <c r="G227" s="81">
        <v>2647456.26</v>
      </c>
      <c r="H227" s="81">
        <v>-115256.54</v>
      </c>
      <c r="I227" s="81">
        <v>0</v>
      </c>
    </row>
    <row r="228" spans="1:9" ht="12.75">
      <c r="A228" t="s">
        <v>1386</v>
      </c>
      <c r="B228" s="235" t="s">
        <v>1370</v>
      </c>
      <c r="C228" s="81">
        <v>0</v>
      </c>
      <c r="D228" s="81">
        <v>0</v>
      </c>
      <c r="E228" s="81">
        <v>0</v>
      </c>
      <c r="F228" s="81">
        <v>0</v>
      </c>
      <c r="G228" s="81">
        <v>0</v>
      </c>
      <c r="H228" s="81">
        <v>0</v>
      </c>
      <c r="I228" s="81">
        <v>0</v>
      </c>
    </row>
    <row r="229" spans="1:9" ht="12.75">
      <c r="A229" t="s">
        <v>834</v>
      </c>
      <c r="B229" s="235" t="s">
        <v>510</v>
      </c>
      <c r="C229" s="81">
        <v>363801.67</v>
      </c>
      <c r="D229" s="81">
        <v>384782.23</v>
      </c>
      <c r="E229" s="81">
        <v>-20980.56</v>
      </c>
      <c r="F229" s="81">
        <v>363801.67</v>
      </c>
      <c r="G229" s="81">
        <v>384782.23</v>
      </c>
      <c r="H229" s="81">
        <v>-20980.56</v>
      </c>
      <c r="I229" s="81">
        <v>0</v>
      </c>
    </row>
    <row r="230" spans="1:9" ht="12.75">
      <c r="A230" t="s">
        <v>1387</v>
      </c>
      <c r="B230" s="235" t="s">
        <v>1388</v>
      </c>
      <c r="C230" s="81">
        <v>0</v>
      </c>
      <c r="D230" s="81">
        <v>0</v>
      </c>
      <c r="E230" s="81">
        <v>0</v>
      </c>
      <c r="F230" s="81">
        <v>0</v>
      </c>
      <c r="G230" s="81">
        <v>0</v>
      </c>
      <c r="H230" s="81">
        <v>0</v>
      </c>
      <c r="I230" s="81">
        <v>0</v>
      </c>
    </row>
    <row r="231" spans="1:9" ht="12.75">
      <c r="A231" t="s">
        <v>835</v>
      </c>
      <c r="B231" s="235" t="s">
        <v>510</v>
      </c>
      <c r="C231" s="81">
        <v>261525.83</v>
      </c>
      <c r="D231" s="81">
        <v>276391.12</v>
      </c>
      <c r="E231" s="81">
        <v>-14865.29</v>
      </c>
      <c r="F231" s="81">
        <v>261525.83</v>
      </c>
      <c r="G231" s="81">
        <v>276391.12</v>
      </c>
      <c r="H231" s="81">
        <v>-14865.29</v>
      </c>
      <c r="I231" s="81">
        <v>0</v>
      </c>
    </row>
    <row r="232" spans="1:9" ht="12.75">
      <c r="A232" t="s">
        <v>1389</v>
      </c>
      <c r="B232" s="235" t="s">
        <v>1390</v>
      </c>
      <c r="C232" s="81">
        <v>0</v>
      </c>
      <c r="D232" s="81">
        <v>0</v>
      </c>
      <c r="E232" s="81">
        <v>0</v>
      </c>
      <c r="F232" s="81">
        <v>0</v>
      </c>
      <c r="G232" s="81">
        <v>0</v>
      </c>
      <c r="H232" s="81">
        <v>0</v>
      </c>
      <c r="I232" s="81">
        <v>0</v>
      </c>
    </row>
    <row r="233" spans="1:9" ht="12.75">
      <c r="A233" t="s">
        <v>836</v>
      </c>
      <c r="B233" s="235" t="s">
        <v>580</v>
      </c>
      <c r="C233" s="81">
        <v>385391.24</v>
      </c>
      <c r="D233" s="81">
        <v>407062.07</v>
      </c>
      <c r="E233" s="81">
        <v>-21670.83</v>
      </c>
      <c r="F233" s="81">
        <v>385391.24</v>
      </c>
      <c r="G233" s="81">
        <v>407062.07</v>
      </c>
      <c r="H233" s="81">
        <v>-21670.83</v>
      </c>
      <c r="I233" s="81">
        <v>0</v>
      </c>
    </row>
    <row r="234" spans="1:9" ht="12.75">
      <c r="A234" t="s">
        <v>1391</v>
      </c>
      <c r="B234" s="235" t="s">
        <v>1392</v>
      </c>
      <c r="C234" s="81">
        <v>0</v>
      </c>
      <c r="D234" s="81">
        <v>0</v>
      </c>
      <c r="E234" s="81">
        <v>0</v>
      </c>
      <c r="F234" s="81">
        <v>0</v>
      </c>
      <c r="G234" s="81">
        <v>0</v>
      </c>
      <c r="H234" s="81">
        <v>0</v>
      </c>
      <c r="I234" s="81">
        <v>0</v>
      </c>
    </row>
    <row r="235" spans="1:9" ht="12.75">
      <c r="A235" t="s">
        <v>837</v>
      </c>
      <c r="B235" s="235" t="s">
        <v>838</v>
      </c>
      <c r="C235" s="81">
        <v>0</v>
      </c>
      <c r="D235" s="81">
        <v>0</v>
      </c>
      <c r="E235" s="81">
        <v>0</v>
      </c>
      <c r="F235" s="81">
        <v>0</v>
      </c>
      <c r="G235" s="81">
        <v>0</v>
      </c>
      <c r="H235" s="81">
        <v>0</v>
      </c>
      <c r="I235" s="81">
        <v>0</v>
      </c>
    </row>
    <row r="236" spans="1:9" ht="12.75">
      <c r="A236" t="s">
        <v>839</v>
      </c>
      <c r="B236" s="235" t="s">
        <v>505</v>
      </c>
      <c r="C236" s="81">
        <v>0</v>
      </c>
      <c r="D236" s="81">
        <v>8950.16</v>
      </c>
      <c r="E236" s="81">
        <v>-8950.16</v>
      </c>
      <c r="F236" s="81">
        <v>0</v>
      </c>
      <c r="G236" s="81">
        <v>8950.16</v>
      </c>
      <c r="H236" s="81">
        <v>-8950.16</v>
      </c>
      <c r="I236" s="81">
        <v>0</v>
      </c>
    </row>
    <row r="237" spans="1:9" ht="12.75">
      <c r="A237" t="s">
        <v>1393</v>
      </c>
      <c r="B237" s="235" t="s">
        <v>1394</v>
      </c>
      <c r="C237" s="81">
        <v>931237.11</v>
      </c>
      <c r="D237" s="81">
        <v>0</v>
      </c>
      <c r="E237" s="81">
        <v>931237.11</v>
      </c>
      <c r="F237" s="81">
        <v>931237.11</v>
      </c>
      <c r="G237" s="81">
        <v>0</v>
      </c>
      <c r="H237" s="81">
        <v>931237.11</v>
      </c>
      <c r="I237" s="81">
        <v>0</v>
      </c>
    </row>
    <row r="238" spans="1:9" ht="12.75">
      <c r="A238" t="s">
        <v>840</v>
      </c>
      <c r="B238" s="235" t="s">
        <v>506</v>
      </c>
      <c r="C238" s="81">
        <v>0</v>
      </c>
      <c r="D238" s="81">
        <v>984194.34</v>
      </c>
      <c r="E238" s="81">
        <v>-984194.34</v>
      </c>
      <c r="F238" s="81">
        <v>0</v>
      </c>
      <c r="G238" s="81">
        <v>984194.34</v>
      </c>
      <c r="H238" s="81">
        <v>-984194.34</v>
      </c>
      <c r="I238" s="81">
        <v>0</v>
      </c>
    </row>
    <row r="239" spans="1:9" ht="12.75">
      <c r="A239" t="s">
        <v>1395</v>
      </c>
      <c r="B239" s="235" t="s">
        <v>1396</v>
      </c>
      <c r="C239" s="81">
        <v>0</v>
      </c>
      <c r="D239" s="81">
        <v>0</v>
      </c>
      <c r="E239" s="81">
        <v>0</v>
      </c>
      <c r="F239" s="81">
        <v>0</v>
      </c>
      <c r="G239" s="81">
        <v>0</v>
      </c>
      <c r="H239" s="81">
        <v>0</v>
      </c>
      <c r="I239" s="81">
        <v>0</v>
      </c>
    </row>
    <row r="240" spans="1:9" ht="12.75">
      <c r="A240" t="s">
        <v>581</v>
      </c>
      <c r="B240" s="235" t="s">
        <v>874</v>
      </c>
      <c r="C240" s="81">
        <v>0</v>
      </c>
      <c r="D240" s="81">
        <v>0</v>
      </c>
      <c r="E240" s="81">
        <v>0</v>
      </c>
      <c r="F240" s="81">
        <v>0</v>
      </c>
      <c r="G240" s="81">
        <v>0</v>
      </c>
      <c r="H240" s="81">
        <v>0</v>
      </c>
      <c r="I240" s="81">
        <v>0</v>
      </c>
    </row>
    <row r="241" spans="1:9" ht="12.75">
      <c r="A241" t="s">
        <v>841</v>
      </c>
      <c r="B241" s="235" t="s">
        <v>382</v>
      </c>
      <c r="C241" s="81">
        <v>7368153.6</v>
      </c>
      <c r="D241" s="81">
        <v>7790080.32</v>
      </c>
      <c r="E241" s="81">
        <v>-421926.72</v>
      </c>
      <c r="F241" s="81">
        <v>7368153.6</v>
      </c>
      <c r="G241" s="81">
        <v>7790080.32</v>
      </c>
      <c r="H241" s="81">
        <v>-421926.72</v>
      </c>
      <c r="I241" s="81">
        <v>0</v>
      </c>
    </row>
    <row r="242" spans="1:9" ht="12.75">
      <c r="A242" t="s">
        <v>1087</v>
      </c>
      <c r="B242" s="235" t="s">
        <v>1086</v>
      </c>
      <c r="C242" s="81">
        <v>7102393.83</v>
      </c>
      <c r="D242" s="81">
        <v>11858575.51</v>
      </c>
      <c r="E242" s="81">
        <v>-4756181.68</v>
      </c>
      <c r="F242" s="81">
        <v>7102393.83</v>
      </c>
      <c r="G242" s="81">
        <v>11858575.51</v>
      </c>
      <c r="H242" s="81">
        <v>-4756181.68</v>
      </c>
      <c r="I242" s="81">
        <v>0</v>
      </c>
    </row>
    <row r="243" spans="1:9" ht="12.75">
      <c r="A243" t="s">
        <v>842</v>
      </c>
      <c r="B243" s="236" t="s">
        <v>830</v>
      </c>
      <c r="C243" s="237">
        <v>18944703</v>
      </c>
      <c r="D243" s="237">
        <v>24357492.01</v>
      </c>
      <c r="E243" s="237">
        <v>-5412789.01</v>
      </c>
      <c r="F243" s="237">
        <v>18944703</v>
      </c>
      <c r="G243" s="237">
        <v>24357492.01</v>
      </c>
      <c r="H243" s="237">
        <v>-5412789.01</v>
      </c>
      <c r="I243" s="237">
        <v>0</v>
      </c>
    </row>
    <row r="245" spans="1:9" ht="12.75">
      <c r="A245" t="s">
        <v>1088</v>
      </c>
      <c r="B245" s="235" t="s">
        <v>1089</v>
      </c>
      <c r="C245" s="81">
        <v>0</v>
      </c>
      <c r="D245" s="81">
        <v>0</v>
      </c>
      <c r="E245" s="81">
        <v>0</v>
      </c>
      <c r="F245" s="81">
        <v>0</v>
      </c>
      <c r="G245" s="81">
        <v>0</v>
      </c>
      <c r="H245" s="81">
        <v>0</v>
      </c>
      <c r="I245" s="81">
        <v>0</v>
      </c>
    </row>
    <row r="246" spans="1:9" ht="12.75">
      <c r="A246" t="s">
        <v>1090</v>
      </c>
      <c r="B246" s="235" t="s">
        <v>1091</v>
      </c>
      <c r="C246" s="81">
        <v>11858575.51</v>
      </c>
      <c r="D246" s="81">
        <v>7102393.83</v>
      </c>
      <c r="E246" s="81">
        <v>4756181.68</v>
      </c>
      <c r="F246" s="81">
        <v>11858575.51</v>
      </c>
      <c r="G246" s="81">
        <v>7102393.83</v>
      </c>
      <c r="H246" s="81">
        <v>4756181.68</v>
      </c>
      <c r="I246" s="81">
        <v>0</v>
      </c>
    </row>
    <row r="247" spans="1:9" ht="12.75">
      <c r="A247" t="s">
        <v>1092</v>
      </c>
      <c r="B247" s="236" t="s">
        <v>1089</v>
      </c>
      <c r="C247" s="237">
        <v>11858575.51</v>
      </c>
      <c r="D247" s="237">
        <v>7102393.83</v>
      </c>
      <c r="E247" s="237">
        <v>4756181.68</v>
      </c>
      <c r="F247" s="237">
        <v>11858575.51</v>
      </c>
      <c r="G247" s="237">
        <v>7102393.83</v>
      </c>
      <c r="H247" s="237">
        <v>4756181.68</v>
      </c>
      <c r="I247" s="237">
        <v>0</v>
      </c>
    </row>
    <row r="249" spans="1:9" ht="12.75">
      <c r="A249" t="s">
        <v>843</v>
      </c>
      <c r="B249" s="235" t="s">
        <v>844</v>
      </c>
      <c r="C249" s="81">
        <v>0</v>
      </c>
      <c r="D249" s="81">
        <v>0</v>
      </c>
      <c r="E249" s="81">
        <v>0</v>
      </c>
      <c r="F249" s="81">
        <v>0</v>
      </c>
      <c r="G249" s="81">
        <v>0</v>
      </c>
      <c r="H249" s="81">
        <v>0</v>
      </c>
      <c r="I249" s="81">
        <v>0</v>
      </c>
    </row>
    <row r="250" spans="1:9" ht="12.75">
      <c r="A250" t="s">
        <v>845</v>
      </c>
      <c r="B250" s="235" t="s">
        <v>846</v>
      </c>
      <c r="C250" s="81">
        <v>0</v>
      </c>
      <c r="D250" s="81">
        <v>4818.85</v>
      </c>
      <c r="E250" s="81">
        <v>-4818.85</v>
      </c>
      <c r="F250" s="81">
        <v>0</v>
      </c>
      <c r="G250" s="81">
        <v>4818.85</v>
      </c>
      <c r="H250" s="81">
        <v>-4818.85</v>
      </c>
      <c r="I250" s="81">
        <v>0</v>
      </c>
    </row>
    <row r="251" spans="1:9" ht="12.75">
      <c r="A251" t="s">
        <v>847</v>
      </c>
      <c r="B251" s="235" t="s">
        <v>848</v>
      </c>
      <c r="C251" s="81">
        <v>0</v>
      </c>
      <c r="D251" s="81">
        <v>0</v>
      </c>
      <c r="E251" s="81">
        <v>0</v>
      </c>
      <c r="F251" s="81">
        <v>0</v>
      </c>
      <c r="G251" s="81">
        <v>0</v>
      </c>
      <c r="H251" s="81">
        <v>0</v>
      </c>
      <c r="I251" s="81">
        <v>0</v>
      </c>
    </row>
    <row r="252" spans="1:9" ht="12.75">
      <c r="A252" t="s">
        <v>849</v>
      </c>
      <c r="B252" s="235" t="s">
        <v>850</v>
      </c>
      <c r="C252" s="81">
        <v>67627.25</v>
      </c>
      <c r="D252" s="81">
        <v>70716.72</v>
      </c>
      <c r="E252" s="81">
        <v>-3089.47</v>
      </c>
      <c r="F252" s="81">
        <v>67627.25</v>
      </c>
      <c r="G252" s="81">
        <v>70716.72</v>
      </c>
      <c r="H252" s="81">
        <v>-3089.47</v>
      </c>
      <c r="I252" s="81">
        <v>0</v>
      </c>
    </row>
    <row r="253" spans="1:9" ht="12.75">
      <c r="A253" t="s">
        <v>851</v>
      </c>
      <c r="B253" s="235" t="s">
        <v>138</v>
      </c>
      <c r="C253" s="81">
        <v>0</v>
      </c>
      <c r="D253" s="81">
        <v>352077.84</v>
      </c>
      <c r="E253" s="81">
        <v>-352077.84</v>
      </c>
      <c r="F253" s="81">
        <v>0</v>
      </c>
      <c r="G253" s="81">
        <v>352077.84</v>
      </c>
      <c r="H253" s="81">
        <v>-352077.84</v>
      </c>
      <c r="I253" s="81">
        <v>0</v>
      </c>
    </row>
    <row r="254" spans="1:9" ht="12.75">
      <c r="A254" t="s">
        <v>852</v>
      </c>
      <c r="B254" s="235" t="s">
        <v>582</v>
      </c>
      <c r="C254" s="81">
        <v>71784.1</v>
      </c>
      <c r="D254" s="81">
        <v>105623.94</v>
      </c>
      <c r="E254" s="81">
        <v>-33839.84</v>
      </c>
      <c r="F254" s="81">
        <v>71784.1</v>
      </c>
      <c r="G254" s="81">
        <v>105623.94</v>
      </c>
      <c r="H254" s="81">
        <v>-33839.84</v>
      </c>
      <c r="I254" s="81">
        <v>0</v>
      </c>
    </row>
    <row r="255" spans="1:9" ht="12.75">
      <c r="A255" t="s">
        <v>1397</v>
      </c>
      <c r="B255" s="235" t="s">
        <v>1398</v>
      </c>
      <c r="C255" s="81">
        <v>43230.99</v>
      </c>
      <c r="D255" s="81">
        <v>14677.88</v>
      </c>
      <c r="E255" s="81">
        <v>28553.11</v>
      </c>
      <c r="F255" s="81">
        <v>43230.99</v>
      </c>
      <c r="G255" s="81">
        <v>14677.88</v>
      </c>
      <c r="H255" s="81">
        <v>28553.11</v>
      </c>
      <c r="I255" s="81">
        <v>0</v>
      </c>
    </row>
    <row r="256" spans="1:9" ht="12.75">
      <c r="A256" t="s">
        <v>853</v>
      </c>
      <c r="B256" s="235" t="s">
        <v>854</v>
      </c>
      <c r="C256" s="81">
        <v>0</v>
      </c>
      <c r="D256" s="81">
        <v>6717464.84</v>
      </c>
      <c r="E256" s="81">
        <v>-6717464.84</v>
      </c>
      <c r="F256" s="81">
        <v>0</v>
      </c>
      <c r="G256" s="81">
        <v>6717464.84</v>
      </c>
      <c r="H256" s="81">
        <v>-6717464.84</v>
      </c>
      <c r="I256" s="81">
        <v>0</v>
      </c>
    </row>
    <row r="257" spans="1:9" ht="12.75">
      <c r="A257" t="s">
        <v>1399</v>
      </c>
      <c r="B257" s="235" t="s">
        <v>1400</v>
      </c>
      <c r="C257" s="81">
        <v>6717464.84</v>
      </c>
      <c r="D257" s="81">
        <v>0</v>
      </c>
      <c r="E257" s="81">
        <v>6717464.84</v>
      </c>
      <c r="F257" s="81">
        <v>6717464.84</v>
      </c>
      <c r="G257" s="81">
        <v>0</v>
      </c>
      <c r="H257" s="81">
        <v>6717464.84</v>
      </c>
      <c r="I257" s="81">
        <v>0</v>
      </c>
    </row>
    <row r="258" spans="1:9" ht="12.75">
      <c r="A258" t="s">
        <v>855</v>
      </c>
      <c r="B258" s="235" t="s">
        <v>609</v>
      </c>
      <c r="C258" s="81">
        <v>735.2</v>
      </c>
      <c r="D258" s="81">
        <v>735.2</v>
      </c>
      <c r="E258" s="81">
        <v>0</v>
      </c>
      <c r="F258" s="81">
        <v>735.2</v>
      </c>
      <c r="G258" s="81">
        <v>735.2</v>
      </c>
      <c r="H258" s="81">
        <v>0</v>
      </c>
      <c r="I258" s="81">
        <v>0</v>
      </c>
    </row>
    <row r="259" spans="1:9" ht="12.75">
      <c r="A259" t="s">
        <v>856</v>
      </c>
      <c r="B259" s="236" t="s">
        <v>844</v>
      </c>
      <c r="C259" s="237">
        <v>6900842.38</v>
      </c>
      <c r="D259" s="237">
        <v>7266115.27</v>
      </c>
      <c r="E259" s="237">
        <v>-365272.89</v>
      </c>
      <c r="F259" s="237">
        <v>6900842.38</v>
      </c>
      <c r="G259" s="237">
        <v>7266115.27</v>
      </c>
      <c r="H259" s="237">
        <v>-365272.89</v>
      </c>
      <c r="I259" s="237">
        <v>0</v>
      </c>
    </row>
    <row r="261" spans="1:9" ht="12.75">
      <c r="A261" t="s">
        <v>857</v>
      </c>
      <c r="B261" s="235" t="s">
        <v>858</v>
      </c>
      <c r="C261" s="81">
        <v>0</v>
      </c>
      <c r="D261" s="81">
        <v>0</v>
      </c>
      <c r="E261" s="81">
        <v>0</v>
      </c>
      <c r="F261" s="81">
        <v>0</v>
      </c>
      <c r="G261" s="81">
        <v>0</v>
      </c>
      <c r="H261" s="81">
        <v>0</v>
      </c>
      <c r="I261" s="81">
        <v>0</v>
      </c>
    </row>
    <row r="262" spans="1:9" ht="12.75">
      <c r="A262" t="s">
        <v>859</v>
      </c>
      <c r="B262" s="235" t="s">
        <v>610</v>
      </c>
      <c r="C262" s="81">
        <v>225253147.12</v>
      </c>
      <c r="D262" s="81">
        <v>187445619.83</v>
      </c>
      <c r="E262" s="81">
        <v>37807527.29</v>
      </c>
      <c r="F262" s="81">
        <v>225253147.12</v>
      </c>
      <c r="G262" s="81">
        <v>187445619.83</v>
      </c>
      <c r="H262" s="81">
        <v>37807527.29</v>
      </c>
      <c r="I262" s="81">
        <v>0</v>
      </c>
    </row>
    <row r="263" spans="1:9" ht="12.75">
      <c r="A263" t="s">
        <v>611</v>
      </c>
      <c r="B263" s="235" t="s">
        <v>612</v>
      </c>
      <c r="C263" s="81">
        <v>0</v>
      </c>
      <c r="D263" s="81">
        <v>0</v>
      </c>
      <c r="E263" s="81">
        <v>0</v>
      </c>
      <c r="F263" s="81">
        <v>0</v>
      </c>
      <c r="G263" s="81">
        <v>0</v>
      </c>
      <c r="H263" s="81">
        <v>0</v>
      </c>
      <c r="I263" s="81">
        <v>0</v>
      </c>
    </row>
    <row r="264" spans="1:9" ht="12.75">
      <c r="A264" t="s">
        <v>860</v>
      </c>
      <c r="B264" s="236" t="s">
        <v>858</v>
      </c>
      <c r="C264" s="237">
        <v>225253147.12</v>
      </c>
      <c r="D264" s="237">
        <v>187445619.83</v>
      </c>
      <c r="E264" s="237">
        <v>37807527.29</v>
      </c>
      <c r="F264" s="237">
        <v>225253147.12</v>
      </c>
      <c r="G264" s="237">
        <v>187445619.83</v>
      </c>
      <c r="H264" s="237">
        <v>37807527.29</v>
      </c>
      <c r="I264" s="237">
        <v>0</v>
      </c>
    </row>
    <row r="266" spans="2:9" ht="12.75">
      <c r="B266" s="238" t="s">
        <v>861</v>
      </c>
      <c r="C266" s="239">
        <v>7678333171.1</v>
      </c>
      <c r="D266" s="239">
        <v>7678333171.1</v>
      </c>
      <c r="E266" s="239">
        <v>0</v>
      </c>
      <c r="F266" s="239">
        <v>7678333171.1</v>
      </c>
      <c r="G266" s="239">
        <v>7678333171.1</v>
      </c>
      <c r="H266" s="239">
        <v>0</v>
      </c>
      <c r="I266" s="239">
        <v>0</v>
      </c>
    </row>
    <row r="268" spans="1:9" ht="12.75">
      <c r="A268" t="s">
        <v>862</v>
      </c>
      <c r="B268" s="235" t="s">
        <v>863</v>
      </c>
      <c r="C268" s="81">
        <v>0</v>
      </c>
      <c r="D268" s="81">
        <v>0</v>
      </c>
      <c r="E268" s="81">
        <v>0</v>
      </c>
      <c r="F268" s="81">
        <v>0</v>
      </c>
      <c r="G268" s="81">
        <v>0</v>
      </c>
      <c r="H268" s="81">
        <v>0</v>
      </c>
      <c r="I268" s="81">
        <v>0</v>
      </c>
    </row>
    <row r="269" spans="1:9" ht="12.75">
      <c r="A269" t="s">
        <v>864</v>
      </c>
      <c r="B269" s="235" t="s">
        <v>507</v>
      </c>
      <c r="C269" s="81">
        <v>0</v>
      </c>
      <c r="D269" s="81">
        <v>0</v>
      </c>
      <c r="E269" s="81">
        <v>0</v>
      </c>
      <c r="F269" s="81">
        <v>0</v>
      </c>
      <c r="G269" s="81">
        <v>0</v>
      </c>
      <c r="H269" s="81">
        <v>0</v>
      </c>
      <c r="I269" s="81">
        <v>0</v>
      </c>
    </row>
    <row r="270" spans="1:9" ht="12.75">
      <c r="A270" t="s">
        <v>865</v>
      </c>
      <c r="B270" s="235" t="s">
        <v>508</v>
      </c>
      <c r="C270" s="81">
        <v>0</v>
      </c>
      <c r="D270" s="81">
        <v>0</v>
      </c>
      <c r="E270" s="81">
        <v>0</v>
      </c>
      <c r="F270" s="81">
        <v>0</v>
      </c>
      <c r="G270" s="81">
        <v>0</v>
      </c>
      <c r="H270" s="81">
        <v>0</v>
      </c>
      <c r="I270" s="81">
        <v>0</v>
      </c>
    </row>
    <row r="271" spans="1:9" ht="12.75">
      <c r="A271" t="s">
        <v>866</v>
      </c>
      <c r="B271" s="235" t="s">
        <v>509</v>
      </c>
      <c r="C271" s="81">
        <v>2476409.72</v>
      </c>
      <c r="D271" s="81">
        <v>39.72</v>
      </c>
      <c r="E271" s="81">
        <v>2476370</v>
      </c>
      <c r="F271" s="81">
        <v>2476409.72</v>
      </c>
      <c r="G271" s="81">
        <v>39.72</v>
      </c>
      <c r="H271" s="81">
        <v>2476370</v>
      </c>
      <c r="I271" s="81">
        <v>0</v>
      </c>
    </row>
    <row r="272" spans="1:9" ht="12.75">
      <c r="A272" t="s">
        <v>867</v>
      </c>
      <c r="B272" s="235" t="s">
        <v>510</v>
      </c>
      <c r="C272" s="81">
        <v>362063.34</v>
      </c>
      <c r="D272" s="81">
        <v>4.67</v>
      </c>
      <c r="E272" s="81">
        <v>362058.67</v>
      </c>
      <c r="F272" s="81">
        <v>362063.34</v>
      </c>
      <c r="G272" s="81">
        <v>4.67</v>
      </c>
      <c r="H272" s="81">
        <v>362058.67</v>
      </c>
      <c r="I272" s="81">
        <v>0</v>
      </c>
    </row>
    <row r="273" spans="1:9" ht="12.75">
      <c r="A273" t="s">
        <v>868</v>
      </c>
      <c r="B273" s="235" t="s">
        <v>510</v>
      </c>
      <c r="C273" s="81">
        <v>260219.18</v>
      </c>
      <c r="D273" s="81">
        <v>2.33</v>
      </c>
      <c r="E273" s="81">
        <v>260216.85</v>
      </c>
      <c r="F273" s="81">
        <v>260219.18</v>
      </c>
      <c r="G273" s="81">
        <v>2.33</v>
      </c>
      <c r="H273" s="81">
        <v>260216.85</v>
      </c>
      <c r="I273" s="81">
        <v>0</v>
      </c>
    </row>
    <row r="274" spans="1:9" ht="12.75">
      <c r="A274" t="s">
        <v>869</v>
      </c>
      <c r="B274" s="235" t="s">
        <v>512</v>
      </c>
      <c r="C274" s="81">
        <v>383402.84</v>
      </c>
      <c r="D274" s="81">
        <v>6.24</v>
      </c>
      <c r="E274" s="81">
        <v>383396.6</v>
      </c>
      <c r="F274" s="81">
        <v>383402.84</v>
      </c>
      <c r="G274" s="81">
        <v>6.24</v>
      </c>
      <c r="H274" s="81">
        <v>383396.6</v>
      </c>
      <c r="I274" s="81">
        <v>0</v>
      </c>
    </row>
    <row r="275" spans="1:9" ht="12.75">
      <c r="A275" t="s">
        <v>870</v>
      </c>
      <c r="B275" s="235" t="s">
        <v>838</v>
      </c>
      <c r="C275" s="81">
        <v>0</v>
      </c>
      <c r="D275" s="81">
        <v>0</v>
      </c>
      <c r="E275" s="81">
        <v>0</v>
      </c>
      <c r="F275" s="81">
        <v>0</v>
      </c>
      <c r="G275" s="81">
        <v>0</v>
      </c>
      <c r="H275" s="81">
        <v>0</v>
      </c>
      <c r="I275" s="81">
        <v>0</v>
      </c>
    </row>
    <row r="276" spans="1:9" ht="12.75">
      <c r="A276" t="s">
        <v>871</v>
      </c>
      <c r="B276" s="235" t="s">
        <v>505</v>
      </c>
      <c r="C276" s="81">
        <v>244.37</v>
      </c>
      <c r="D276" s="81">
        <v>0</v>
      </c>
      <c r="E276" s="81">
        <v>244.37</v>
      </c>
      <c r="F276" s="81">
        <v>244.37</v>
      </c>
      <c r="G276" s="81">
        <v>0</v>
      </c>
      <c r="H276" s="81">
        <v>244.37</v>
      </c>
      <c r="I276" s="81">
        <v>0</v>
      </c>
    </row>
    <row r="277" spans="1:9" ht="12.75">
      <c r="A277" t="s">
        <v>872</v>
      </c>
      <c r="B277" s="235" t="s">
        <v>506</v>
      </c>
      <c r="C277" s="81">
        <v>320734.77</v>
      </c>
      <c r="D277" s="81">
        <v>0</v>
      </c>
      <c r="E277" s="81">
        <v>320734.77</v>
      </c>
      <c r="F277" s="81">
        <v>320734.77</v>
      </c>
      <c r="G277" s="81">
        <v>0</v>
      </c>
      <c r="H277" s="81">
        <v>320734.77</v>
      </c>
      <c r="I277" s="81">
        <v>0</v>
      </c>
    </row>
    <row r="278" spans="1:9" ht="12.75">
      <c r="A278" t="s">
        <v>613</v>
      </c>
      <c r="B278" s="235" t="s">
        <v>614</v>
      </c>
      <c r="C278" s="81">
        <v>0</v>
      </c>
      <c r="D278" s="81">
        <v>0</v>
      </c>
      <c r="E278" s="81">
        <v>0</v>
      </c>
      <c r="F278" s="81">
        <v>0</v>
      </c>
      <c r="G278" s="81">
        <v>0</v>
      </c>
      <c r="H278" s="81">
        <v>0</v>
      </c>
      <c r="I278" s="81">
        <v>0</v>
      </c>
    </row>
    <row r="279" spans="1:9" ht="12.75">
      <c r="A279" t="s">
        <v>873</v>
      </c>
      <c r="B279" s="235" t="s">
        <v>614</v>
      </c>
      <c r="C279" s="81">
        <v>6954376.8</v>
      </c>
      <c r="D279" s="81">
        <v>0</v>
      </c>
      <c r="E279" s="81">
        <v>6954376.8</v>
      </c>
      <c r="F279" s="81">
        <v>6954376.8</v>
      </c>
      <c r="G279" s="81">
        <v>0</v>
      </c>
      <c r="H279" s="81">
        <v>6954376.8</v>
      </c>
      <c r="I279" s="81">
        <v>0</v>
      </c>
    </row>
    <row r="280" spans="1:9" ht="12.75">
      <c r="A280" t="s">
        <v>875</v>
      </c>
      <c r="B280" s="236" t="s">
        <v>863</v>
      </c>
      <c r="C280" s="237">
        <v>10757451.02</v>
      </c>
      <c r="D280" s="237">
        <v>52.96</v>
      </c>
      <c r="E280" s="237">
        <v>10757398.06</v>
      </c>
      <c r="F280" s="237">
        <v>10757451.02</v>
      </c>
      <c r="G280" s="237">
        <v>52.96</v>
      </c>
      <c r="H280" s="237">
        <v>10757398.06</v>
      </c>
      <c r="I280" s="237">
        <v>0</v>
      </c>
    </row>
    <row r="282" spans="1:9" ht="12.75">
      <c r="A282" t="s">
        <v>876</v>
      </c>
      <c r="B282" s="235" t="s">
        <v>138</v>
      </c>
      <c r="C282" s="81">
        <v>0</v>
      </c>
      <c r="D282" s="81">
        <v>0</v>
      </c>
      <c r="E282" s="81">
        <v>0</v>
      </c>
      <c r="F282" s="81">
        <v>0</v>
      </c>
      <c r="G282" s="81">
        <v>0</v>
      </c>
      <c r="H282" s="81">
        <v>0</v>
      </c>
      <c r="I282" s="81">
        <v>0</v>
      </c>
    </row>
    <row r="283" spans="1:9" ht="12.75">
      <c r="A283" t="s">
        <v>877</v>
      </c>
      <c r="B283" s="235" t="s">
        <v>138</v>
      </c>
      <c r="C283" s="81">
        <v>156888.7</v>
      </c>
      <c r="D283" s="81">
        <v>0</v>
      </c>
      <c r="E283" s="81">
        <v>156888.7</v>
      </c>
      <c r="F283" s="81">
        <v>156888.7</v>
      </c>
      <c r="G283" s="81">
        <v>0</v>
      </c>
      <c r="H283" s="81">
        <v>156888.7</v>
      </c>
      <c r="I283" s="81">
        <v>0</v>
      </c>
    </row>
    <row r="284" spans="1:9" ht="12.75">
      <c r="A284" t="s">
        <v>878</v>
      </c>
      <c r="B284" s="236" t="s">
        <v>138</v>
      </c>
      <c r="C284" s="237">
        <v>156888.7</v>
      </c>
      <c r="D284" s="237">
        <v>0</v>
      </c>
      <c r="E284" s="237">
        <v>156888.7</v>
      </c>
      <c r="F284" s="237">
        <v>156888.7</v>
      </c>
      <c r="G284" s="237">
        <v>0</v>
      </c>
      <c r="H284" s="237">
        <v>156888.7</v>
      </c>
      <c r="I284" s="237">
        <v>0</v>
      </c>
    </row>
    <row r="286" spans="1:9" ht="12.75">
      <c r="A286" t="s">
        <v>879</v>
      </c>
      <c r="B286" s="235" t="s">
        <v>880</v>
      </c>
      <c r="C286" s="81">
        <v>0</v>
      </c>
      <c r="D286" s="81">
        <v>0</v>
      </c>
      <c r="E286" s="81">
        <v>0</v>
      </c>
      <c r="F286" s="81">
        <v>0</v>
      </c>
      <c r="G286" s="81">
        <v>0</v>
      </c>
      <c r="H286" s="81">
        <v>0</v>
      </c>
      <c r="I286" s="81">
        <v>0</v>
      </c>
    </row>
    <row r="287" spans="1:9" ht="12.75">
      <c r="A287" t="s">
        <v>881</v>
      </c>
      <c r="B287" s="235" t="s">
        <v>882</v>
      </c>
      <c r="C287" s="81">
        <v>0</v>
      </c>
      <c r="D287" s="81">
        <v>0</v>
      </c>
      <c r="E287" s="81">
        <v>0</v>
      </c>
      <c r="F287" s="81">
        <v>0</v>
      </c>
      <c r="G287" s="81">
        <v>0</v>
      </c>
      <c r="H287" s="81">
        <v>0</v>
      </c>
      <c r="I287" s="81">
        <v>0</v>
      </c>
    </row>
    <row r="288" spans="1:9" ht="12.75">
      <c r="A288" t="s">
        <v>883</v>
      </c>
      <c r="B288" s="236" t="s">
        <v>880</v>
      </c>
      <c r="C288" s="237">
        <v>0</v>
      </c>
      <c r="D288" s="237">
        <v>0</v>
      </c>
      <c r="E288" s="237">
        <v>0</v>
      </c>
      <c r="F288" s="237">
        <v>0</v>
      </c>
      <c r="G288" s="237">
        <v>0</v>
      </c>
      <c r="H288" s="237">
        <v>0</v>
      </c>
      <c r="I288" s="237">
        <v>0</v>
      </c>
    </row>
    <row r="290" spans="1:9" ht="12.75">
      <c r="A290" t="s">
        <v>884</v>
      </c>
      <c r="B290" s="235" t="s">
        <v>844</v>
      </c>
      <c r="C290" s="81">
        <v>0</v>
      </c>
      <c r="D290" s="81">
        <v>0</v>
      </c>
      <c r="E290" s="81">
        <v>0</v>
      </c>
      <c r="F290" s="81">
        <v>0</v>
      </c>
      <c r="G290" s="81">
        <v>0</v>
      </c>
      <c r="H290" s="81">
        <v>0</v>
      </c>
      <c r="I290" s="81">
        <v>0</v>
      </c>
    </row>
    <row r="291" spans="1:9" ht="12.75">
      <c r="A291" t="s">
        <v>885</v>
      </c>
      <c r="B291" s="235" t="s">
        <v>846</v>
      </c>
      <c r="C291" s="81">
        <v>0</v>
      </c>
      <c r="D291" s="81">
        <v>0</v>
      </c>
      <c r="E291" s="81">
        <v>0</v>
      </c>
      <c r="F291" s="81">
        <v>0</v>
      </c>
      <c r="G291" s="81">
        <v>0</v>
      </c>
      <c r="H291" s="81">
        <v>0</v>
      </c>
      <c r="I291" s="81">
        <v>0</v>
      </c>
    </row>
    <row r="292" spans="1:9" ht="12.75">
      <c r="A292" t="s">
        <v>886</v>
      </c>
      <c r="B292" s="235" t="s">
        <v>887</v>
      </c>
      <c r="C292" s="81">
        <v>0</v>
      </c>
      <c r="D292" s="81">
        <v>0</v>
      </c>
      <c r="E292" s="81">
        <v>0</v>
      </c>
      <c r="F292" s="81">
        <v>0</v>
      </c>
      <c r="G292" s="81">
        <v>0</v>
      </c>
      <c r="H292" s="81">
        <v>0</v>
      </c>
      <c r="I292" s="81">
        <v>0</v>
      </c>
    </row>
    <row r="293" spans="1:9" ht="12.75">
      <c r="A293" t="s">
        <v>888</v>
      </c>
      <c r="B293" s="235" t="s">
        <v>889</v>
      </c>
      <c r="C293" s="81">
        <v>472.81</v>
      </c>
      <c r="D293" s="81">
        <v>0</v>
      </c>
      <c r="E293" s="81">
        <v>472.81</v>
      </c>
      <c r="F293" s="81">
        <v>472.81</v>
      </c>
      <c r="G293" s="81">
        <v>0</v>
      </c>
      <c r="H293" s="81">
        <v>472.81</v>
      </c>
      <c r="I293" s="81">
        <v>0</v>
      </c>
    </row>
    <row r="294" spans="1:9" ht="12.75">
      <c r="A294" t="s">
        <v>890</v>
      </c>
      <c r="B294" s="236" t="s">
        <v>844</v>
      </c>
      <c r="C294" s="237">
        <v>472.81</v>
      </c>
      <c r="D294" s="237">
        <v>0</v>
      </c>
      <c r="E294" s="237">
        <v>472.81</v>
      </c>
      <c r="F294" s="237">
        <v>472.81</v>
      </c>
      <c r="G294" s="237">
        <v>0</v>
      </c>
      <c r="H294" s="237">
        <v>472.81</v>
      </c>
      <c r="I294" s="237">
        <v>0</v>
      </c>
    </row>
    <row r="296" spans="1:9" ht="12.75">
      <c r="A296" t="s">
        <v>1344</v>
      </c>
      <c r="B296" s="235" t="s">
        <v>1345</v>
      </c>
      <c r="C296" s="81">
        <v>0</v>
      </c>
      <c r="D296" s="81">
        <v>0</v>
      </c>
      <c r="E296" s="81">
        <v>0</v>
      </c>
      <c r="F296" s="81">
        <v>0</v>
      </c>
      <c r="G296" s="81">
        <v>0</v>
      </c>
      <c r="H296" s="81">
        <v>0</v>
      </c>
      <c r="I296" s="81">
        <v>0</v>
      </c>
    </row>
    <row r="297" spans="1:9" ht="12.75">
      <c r="A297" t="s">
        <v>1401</v>
      </c>
      <c r="B297" s="235" t="s">
        <v>1363</v>
      </c>
      <c r="C297" s="81">
        <v>6580.89</v>
      </c>
      <c r="D297" s="81">
        <v>0</v>
      </c>
      <c r="E297" s="81">
        <v>6580.89</v>
      </c>
      <c r="F297" s="81">
        <v>6580.89</v>
      </c>
      <c r="G297" s="81">
        <v>0</v>
      </c>
      <c r="H297" s="81">
        <v>6580.89</v>
      </c>
      <c r="I297" s="81">
        <v>0</v>
      </c>
    </row>
    <row r="298" spans="1:9" ht="12.75">
      <c r="A298" t="s">
        <v>1346</v>
      </c>
      <c r="B298" s="236" t="s">
        <v>488</v>
      </c>
      <c r="C298" s="237">
        <v>6580.89</v>
      </c>
      <c r="D298" s="237">
        <v>0</v>
      </c>
      <c r="E298" s="237">
        <v>6580.89</v>
      </c>
      <c r="F298" s="237">
        <v>6580.89</v>
      </c>
      <c r="G298" s="237">
        <v>0</v>
      </c>
      <c r="H298" s="237">
        <v>6580.89</v>
      </c>
      <c r="I298" s="237">
        <v>0</v>
      </c>
    </row>
    <row r="300" spans="1:9" ht="12.75">
      <c r="A300" t="s">
        <v>891</v>
      </c>
      <c r="B300" s="235" t="s">
        <v>892</v>
      </c>
      <c r="C300" s="81">
        <v>0</v>
      </c>
      <c r="D300" s="81">
        <v>0</v>
      </c>
      <c r="E300" s="81">
        <v>0</v>
      </c>
      <c r="F300" s="81">
        <v>0</v>
      </c>
      <c r="G300" s="81">
        <v>0</v>
      </c>
      <c r="H300" s="81">
        <v>0</v>
      </c>
      <c r="I300" s="81">
        <v>0</v>
      </c>
    </row>
    <row r="301" spans="1:9" ht="12.75">
      <c r="A301" t="s">
        <v>893</v>
      </c>
      <c r="B301" s="235" t="s">
        <v>850</v>
      </c>
      <c r="C301" s="81">
        <v>66365.82</v>
      </c>
      <c r="D301" s="81">
        <v>0</v>
      </c>
      <c r="E301" s="81">
        <v>66365.82</v>
      </c>
      <c r="F301" s="81">
        <v>66365.82</v>
      </c>
      <c r="G301" s="81">
        <v>0</v>
      </c>
      <c r="H301" s="81">
        <v>66365.82</v>
      </c>
      <c r="I301" s="81">
        <v>0</v>
      </c>
    </row>
    <row r="302" spans="1:9" ht="12.75">
      <c r="A302" t="s">
        <v>894</v>
      </c>
      <c r="B302" s="235" t="s">
        <v>615</v>
      </c>
      <c r="C302" s="81">
        <v>105623.94</v>
      </c>
      <c r="D302" s="81">
        <v>0</v>
      </c>
      <c r="E302" s="81">
        <v>105623.94</v>
      </c>
      <c r="F302" s="81">
        <v>105623.94</v>
      </c>
      <c r="G302" s="81">
        <v>0</v>
      </c>
      <c r="H302" s="81">
        <v>105623.94</v>
      </c>
      <c r="I302" s="81">
        <v>0</v>
      </c>
    </row>
    <row r="303" spans="1:9" ht="12.75">
      <c r="A303" t="s">
        <v>895</v>
      </c>
      <c r="B303" s="235" t="s">
        <v>854</v>
      </c>
      <c r="C303" s="81">
        <v>0</v>
      </c>
      <c r="D303" s="81">
        <v>0</v>
      </c>
      <c r="E303" s="81">
        <v>0</v>
      </c>
      <c r="F303" s="81">
        <v>0</v>
      </c>
      <c r="G303" s="81">
        <v>0</v>
      </c>
      <c r="H303" s="81">
        <v>0</v>
      </c>
      <c r="I303" s="81">
        <v>0</v>
      </c>
    </row>
    <row r="304" spans="1:9" ht="12.75">
      <c r="A304" t="s">
        <v>896</v>
      </c>
      <c r="B304" s="236" t="s">
        <v>892</v>
      </c>
      <c r="C304" s="237">
        <v>171989.76</v>
      </c>
      <c r="D304" s="237">
        <v>0</v>
      </c>
      <c r="E304" s="237">
        <v>171989.76</v>
      </c>
      <c r="F304" s="237">
        <v>171989.76</v>
      </c>
      <c r="G304" s="237">
        <v>0</v>
      </c>
      <c r="H304" s="237">
        <v>171989.76</v>
      </c>
      <c r="I304" s="237">
        <v>0</v>
      </c>
    </row>
    <row r="306" spans="1:9" ht="12.75">
      <c r="A306" t="s">
        <v>1093</v>
      </c>
      <c r="B306" s="235" t="s">
        <v>1094</v>
      </c>
      <c r="C306" s="81">
        <v>0</v>
      </c>
      <c r="D306" s="81">
        <v>0</v>
      </c>
      <c r="E306" s="81">
        <v>0</v>
      </c>
      <c r="F306" s="81">
        <v>0</v>
      </c>
      <c r="G306" s="81">
        <v>0</v>
      </c>
      <c r="H306" s="81">
        <v>0</v>
      </c>
      <c r="I306" s="81">
        <v>0</v>
      </c>
    </row>
    <row r="307" spans="1:9" ht="12.75">
      <c r="A307" t="s">
        <v>1095</v>
      </c>
      <c r="B307" s="235" t="s">
        <v>1096</v>
      </c>
      <c r="C307" s="81">
        <v>7384083.52</v>
      </c>
      <c r="D307" s="81">
        <v>0</v>
      </c>
      <c r="E307" s="81">
        <v>7384083.52</v>
      </c>
      <c r="F307" s="81">
        <v>7384083.52</v>
      </c>
      <c r="G307" s="81">
        <v>0</v>
      </c>
      <c r="H307" s="81">
        <v>7384083.52</v>
      </c>
      <c r="I307" s="81">
        <v>0</v>
      </c>
    </row>
    <row r="308" spans="1:9" ht="12.75">
      <c r="A308" t="s">
        <v>1097</v>
      </c>
      <c r="B308" s="236" t="s">
        <v>1094</v>
      </c>
      <c r="C308" s="237">
        <v>7384083.52</v>
      </c>
      <c r="D308" s="237">
        <v>0</v>
      </c>
      <c r="E308" s="237">
        <v>7384083.52</v>
      </c>
      <c r="F308" s="237">
        <v>7384083.52</v>
      </c>
      <c r="G308" s="237">
        <v>0</v>
      </c>
      <c r="H308" s="237">
        <v>7384083.52</v>
      </c>
      <c r="I308" s="237">
        <v>0</v>
      </c>
    </row>
    <row r="310" spans="1:9" ht="12.75">
      <c r="A310" t="s">
        <v>897</v>
      </c>
      <c r="B310" s="235" t="s">
        <v>898</v>
      </c>
      <c r="C310" s="81">
        <v>0</v>
      </c>
      <c r="D310" s="81">
        <v>0</v>
      </c>
      <c r="E310" s="81">
        <v>0</v>
      </c>
      <c r="F310" s="81">
        <v>0</v>
      </c>
      <c r="G310" s="81">
        <v>0</v>
      </c>
      <c r="H310" s="81">
        <v>0</v>
      </c>
      <c r="I310" s="81">
        <v>0</v>
      </c>
    </row>
    <row r="311" spans="1:9" ht="12.75">
      <c r="A311" t="s">
        <v>899</v>
      </c>
      <c r="B311" s="235" t="s">
        <v>513</v>
      </c>
      <c r="C311" s="81">
        <v>0</v>
      </c>
      <c r="D311" s="81">
        <v>0</v>
      </c>
      <c r="E311" s="81">
        <v>0</v>
      </c>
      <c r="F311" s="81">
        <v>0</v>
      </c>
      <c r="G311" s="81">
        <v>0</v>
      </c>
      <c r="H311" s="81">
        <v>0</v>
      </c>
      <c r="I311" s="81">
        <v>0</v>
      </c>
    </row>
    <row r="312" spans="1:9" ht="12.75">
      <c r="A312" t="s">
        <v>900</v>
      </c>
      <c r="B312" s="235" t="s">
        <v>901</v>
      </c>
      <c r="C312" s="81">
        <v>0</v>
      </c>
      <c r="D312" s="81">
        <v>2124987.01</v>
      </c>
      <c r="E312" s="81">
        <v>-2124987.01</v>
      </c>
      <c r="F312" s="81">
        <v>0</v>
      </c>
      <c r="G312" s="81">
        <v>2124987.01</v>
      </c>
      <c r="H312" s="81">
        <v>-2124987.01</v>
      </c>
      <c r="I312" s="81">
        <v>0</v>
      </c>
    </row>
    <row r="313" spans="1:9" ht="12.75">
      <c r="A313" t="s">
        <v>902</v>
      </c>
      <c r="B313" s="235" t="s">
        <v>273</v>
      </c>
      <c r="C313" s="81">
        <v>0</v>
      </c>
      <c r="D313" s="81">
        <v>5754.12</v>
      </c>
      <c r="E313" s="81">
        <v>-5754.12</v>
      </c>
      <c r="F313" s="81">
        <v>0</v>
      </c>
      <c r="G313" s="81">
        <v>5754.12</v>
      </c>
      <c r="H313" s="81">
        <v>-5754.12</v>
      </c>
      <c r="I313" s="81">
        <v>0</v>
      </c>
    </row>
    <row r="314" spans="1:9" ht="12.75">
      <c r="A314" t="s">
        <v>903</v>
      </c>
      <c r="B314" s="235" t="s">
        <v>904</v>
      </c>
      <c r="C314" s="81">
        <v>0</v>
      </c>
      <c r="D314" s="81">
        <v>0</v>
      </c>
      <c r="E314" s="81">
        <v>0</v>
      </c>
      <c r="F314" s="81">
        <v>0</v>
      </c>
      <c r="G314" s="81">
        <v>0</v>
      </c>
      <c r="H314" s="81">
        <v>0</v>
      </c>
      <c r="I314" s="81">
        <v>0</v>
      </c>
    </row>
    <row r="315" spans="1:9" ht="12.75">
      <c r="A315" t="s">
        <v>905</v>
      </c>
      <c r="B315" s="235" t="s">
        <v>906</v>
      </c>
      <c r="C315" s="81">
        <v>1220.25</v>
      </c>
      <c r="D315" s="81">
        <v>1859.21</v>
      </c>
      <c r="E315" s="81">
        <v>-638.96</v>
      </c>
      <c r="F315" s="81">
        <v>1220.25</v>
      </c>
      <c r="G315" s="81">
        <v>1859.21</v>
      </c>
      <c r="H315" s="81">
        <v>-638.96</v>
      </c>
      <c r="I315" s="81">
        <v>0</v>
      </c>
    </row>
    <row r="316" spans="1:9" ht="12.75">
      <c r="A316" t="s">
        <v>616</v>
      </c>
      <c r="B316" s="235" t="s">
        <v>617</v>
      </c>
      <c r="C316" s="81">
        <v>0</v>
      </c>
      <c r="D316" s="81">
        <v>0</v>
      </c>
      <c r="E316" s="81">
        <v>0</v>
      </c>
      <c r="F316" s="81">
        <v>0</v>
      </c>
      <c r="G316" s="81">
        <v>0</v>
      </c>
      <c r="H316" s="81">
        <v>0</v>
      </c>
      <c r="I316" s="81">
        <v>0</v>
      </c>
    </row>
    <row r="317" spans="1:9" ht="12.75">
      <c r="A317" t="s">
        <v>907</v>
      </c>
      <c r="B317" s="235" t="s">
        <v>908</v>
      </c>
      <c r="C317" s="81">
        <v>0</v>
      </c>
      <c r="D317" s="81">
        <v>0</v>
      </c>
      <c r="E317" s="81">
        <v>0</v>
      </c>
      <c r="F317" s="81">
        <v>0</v>
      </c>
      <c r="G317" s="81">
        <v>0</v>
      </c>
      <c r="H317" s="81">
        <v>0</v>
      </c>
      <c r="I317" s="81">
        <v>0</v>
      </c>
    </row>
    <row r="318" spans="1:9" ht="12.75">
      <c r="A318" t="s">
        <v>909</v>
      </c>
      <c r="B318" s="235" t="s">
        <v>910</v>
      </c>
      <c r="C318" s="81">
        <v>0</v>
      </c>
      <c r="D318" s="81">
        <v>0</v>
      </c>
      <c r="E318" s="81">
        <v>0</v>
      </c>
      <c r="F318" s="81">
        <v>0</v>
      </c>
      <c r="G318" s="81">
        <v>0</v>
      </c>
      <c r="H318" s="81">
        <v>0</v>
      </c>
      <c r="I318" s="81">
        <v>0</v>
      </c>
    </row>
    <row r="319" spans="1:9" ht="12.75">
      <c r="A319" t="s">
        <v>911</v>
      </c>
      <c r="B319" s="235" t="s">
        <v>912</v>
      </c>
      <c r="C319" s="81">
        <v>0</v>
      </c>
      <c r="D319" s="81">
        <v>0</v>
      </c>
      <c r="E319" s="81">
        <v>0</v>
      </c>
      <c r="F319" s="81">
        <v>0</v>
      </c>
      <c r="G319" s="81">
        <v>0</v>
      </c>
      <c r="H319" s="81">
        <v>0</v>
      </c>
      <c r="I319" s="81">
        <v>0</v>
      </c>
    </row>
    <row r="320" spans="1:9" ht="12.75">
      <c r="A320" t="s">
        <v>913</v>
      </c>
      <c r="B320" s="235" t="s">
        <v>914</v>
      </c>
      <c r="C320" s="81">
        <v>984.96</v>
      </c>
      <c r="D320" s="81">
        <v>0</v>
      </c>
      <c r="E320" s="81">
        <v>984.96</v>
      </c>
      <c r="F320" s="81">
        <v>984.96</v>
      </c>
      <c r="G320" s="81">
        <v>0</v>
      </c>
      <c r="H320" s="81">
        <v>984.96</v>
      </c>
      <c r="I320" s="81">
        <v>0</v>
      </c>
    </row>
    <row r="321" spans="1:9" ht="12.75">
      <c r="A321" t="s">
        <v>915</v>
      </c>
      <c r="B321" s="235" t="s">
        <v>916</v>
      </c>
      <c r="C321" s="81">
        <v>0</v>
      </c>
      <c r="D321" s="81">
        <v>0</v>
      </c>
      <c r="E321" s="81">
        <v>0</v>
      </c>
      <c r="F321" s="81">
        <v>0</v>
      </c>
      <c r="G321" s="81">
        <v>0</v>
      </c>
      <c r="H321" s="81">
        <v>0</v>
      </c>
      <c r="I321" s="81">
        <v>0</v>
      </c>
    </row>
    <row r="322" spans="1:9" ht="12.75">
      <c r="A322" t="s">
        <v>917</v>
      </c>
      <c r="B322" s="235" t="s">
        <v>918</v>
      </c>
      <c r="C322" s="81">
        <v>0</v>
      </c>
      <c r="D322" s="81">
        <v>0</v>
      </c>
      <c r="E322" s="81">
        <v>0</v>
      </c>
      <c r="F322" s="81">
        <v>0</v>
      </c>
      <c r="G322" s="81">
        <v>0</v>
      </c>
      <c r="H322" s="81">
        <v>0</v>
      </c>
      <c r="I322" s="81">
        <v>0</v>
      </c>
    </row>
    <row r="323" spans="1:9" ht="12.75">
      <c r="A323" t="s">
        <v>919</v>
      </c>
      <c r="B323" s="235" t="s">
        <v>920</v>
      </c>
      <c r="C323" s="81">
        <v>0</v>
      </c>
      <c r="D323" s="81">
        <v>0</v>
      </c>
      <c r="E323" s="81">
        <v>0</v>
      </c>
      <c r="F323" s="81">
        <v>0</v>
      </c>
      <c r="G323" s="81">
        <v>0</v>
      </c>
      <c r="H323" s="81">
        <v>0</v>
      </c>
      <c r="I323" s="81">
        <v>0</v>
      </c>
    </row>
    <row r="324" spans="1:9" ht="12.75">
      <c r="A324" t="s">
        <v>921</v>
      </c>
      <c r="B324" s="235" t="s">
        <v>918</v>
      </c>
      <c r="C324" s="81">
        <v>0</v>
      </c>
      <c r="D324" s="81">
        <v>0</v>
      </c>
      <c r="E324" s="81">
        <v>0</v>
      </c>
      <c r="F324" s="81">
        <v>0</v>
      </c>
      <c r="G324" s="81">
        <v>0</v>
      </c>
      <c r="H324" s="81">
        <v>0</v>
      </c>
      <c r="I324" s="81">
        <v>0</v>
      </c>
    </row>
    <row r="325" spans="1:9" ht="12.75">
      <c r="A325" t="s">
        <v>922</v>
      </c>
      <c r="B325" s="235" t="s">
        <v>923</v>
      </c>
      <c r="C325" s="81">
        <v>0</v>
      </c>
      <c r="D325" s="81">
        <v>0</v>
      </c>
      <c r="E325" s="81">
        <v>0</v>
      </c>
      <c r="F325" s="81">
        <v>0</v>
      </c>
      <c r="G325" s="81">
        <v>0</v>
      </c>
      <c r="H325" s="81">
        <v>0</v>
      </c>
      <c r="I325" s="81">
        <v>0</v>
      </c>
    </row>
    <row r="326" spans="1:9" ht="12.75">
      <c r="A326" t="s">
        <v>618</v>
      </c>
      <c r="B326" s="235" t="s">
        <v>614</v>
      </c>
      <c r="C326" s="81">
        <v>0</v>
      </c>
      <c r="D326" s="81">
        <v>0</v>
      </c>
      <c r="E326" s="81">
        <v>0</v>
      </c>
      <c r="F326" s="81">
        <v>0</v>
      </c>
      <c r="G326" s="81">
        <v>0</v>
      </c>
      <c r="H326" s="81">
        <v>0</v>
      </c>
      <c r="I326" s="81">
        <v>0</v>
      </c>
    </row>
    <row r="327" spans="1:9" ht="12.75">
      <c r="A327" t="s">
        <v>924</v>
      </c>
      <c r="B327" s="235" t="s">
        <v>619</v>
      </c>
      <c r="C327" s="81">
        <v>344103.51</v>
      </c>
      <c r="D327" s="81">
        <v>0</v>
      </c>
      <c r="E327" s="81">
        <v>344103.51</v>
      </c>
      <c r="F327" s="81">
        <v>344103.51</v>
      </c>
      <c r="G327" s="81">
        <v>0</v>
      </c>
      <c r="H327" s="81">
        <v>344103.51</v>
      </c>
      <c r="I327" s="81">
        <v>0</v>
      </c>
    </row>
    <row r="328" spans="1:9" ht="12.75">
      <c r="A328" t="s">
        <v>620</v>
      </c>
      <c r="B328" s="235" t="s">
        <v>614</v>
      </c>
      <c r="C328" s="81">
        <v>0</v>
      </c>
      <c r="D328" s="81">
        <v>0</v>
      </c>
      <c r="E328" s="81">
        <v>0</v>
      </c>
      <c r="F328" s="81">
        <v>0</v>
      </c>
      <c r="G328" s="81">
        <v>0</v>
      </c>
      <c r="H328" s="81">
        <v>0</v>
      </c>
      <c r="I328" s="81">
        <v>0</v>
      </c>
    </row>
    <row r="329" spans="1:9" ht="12.75">
      <c r="A329" t="s">
        <v>106</v>
      </c>
      <c r="B329" s="235" t="s">
        <v>382</v>
      </c>
      <c r="C329" s="81">
        <v>0</v>
      </c>
      <c r="D329" s="81">
        <v>3700509.8</v>
      </c>
      <c r="E329" s="81">
        <v>-3700509.8</v>
      </c>
      <c r="F329" s="81">
        <v>0</v>
      </c>
      <c r="G329" s="81">
        <v>3700509.8</v>
      </c>
      <c r="H329" s="81">
        <v>-3700509.8</v>
      </c>
      <c r="I329" s="81">
        <v>0</v>
      </c>
    </row>
    <row r="330" spans="1:9" ht="12.75">
      <c r="A330" t="s">
        <v>621</v>
      </c>
      <c r="B330" s="235" t="s">
        <v>622</v>
      </c>
      <c r="C330" s="81">
        <v>1988.6</v>
      </c>
      <c r="D330" s="81">
        <v>1889.92</v>
      </c>
      <c r="E330" s="81">
        <v>98.68</v>
      </c>
      <c r="F330" s="81">
        <v>1988.6</v>
      </c>
      <c r="G330" s="81">
        <v>1889.92</v>
      </c>
      <c r="H330" s="81">
        <v>98.68</v>
      </c>
      <c r="I330" s="81">
        <v>0</v>
      </c>
    </row>
    <row r="331" spans="1:9" ht="12.75">
      <c r="A331" t="s">
        <v>925</v>
      </c>
      <c r="B331" s="235" t="s">
        <v>926</v>
      </c>
      <c r="C331" s="81">
        <v>6233.07</v>
      </c>
      <c r="D331" s="81">
        <v>10560.79</v>
      </c>
      <c r="E331" s="81">
        <v>-4327.72</v>
      </c>
      <c r="F331" s="81">
        <v>6233.07</v>
      </c>
      <c r="G331" s="81">
        <v>10560.79</v>
      </c>
      <c r="H331" s="81">
        <v>-4327.72</v>
      </c>
      <c r="I331" s="81">
        <v>0</v>
      </c>
    </row>
    <row r="332" spans="1:9" ht="12.75">
      <c r="A332" t="s">
        <v>632</v>
      </c>
      <c r="B332" s="235" t="s">
        <v>633</v>
      </c>
      <c r="C332" s="81">
        <v>0</v>
      </c>
      <c r="D332" s="81">
        <v>0</v>
      </c>
      <c r="E332" s="81">
        <v>0</v>
      </c>
      <c r="F332" s="81">
        <v>0</v>
      </c>
      <c r="G332" s="81">
        <v>0</v>
      </c>
      <c r="H332" s="81">
        <v>0</v>
      </c>
      <c r="I332" s="81">
        <v>0</v>
      </c>
    </row>
    <row r="333" spans="1:9" ht="12.75">
      <c r="A333" t="s">
        <v>927</v>
      </c>
      <c r="B333" s="235" t="s">
        <v>928</v>
      </c>
      <c r="C333" s="81">
        <v>0</v>
      </c>
      <c r="D333" s="81">
        <v>0</v>
      </c>
      <c r="E333" s="81">
        <v>0</v>
      </c>
      <c r="F333" s="81">
        <v>0</v>
      </c>
      <c r="G333" s="81">
        <v>0</v>
      </c>
      <c r="H333" s="81">
        <v>0</v>
      </c>
      <c r="I333" s="81">
        <v>0</v>
      </c>
    </row>
    <row r="334" spans="1:9" ht="12.75">
      <c r="A334" t="s">
        <v>107</v>
      </c>
      <c r="B334" s="235" t="s">
        <v>928</v>
      </c>
      <c r="C334" s="81">
        <v>0</v>
      </c>
      <c r="D334" s="81">
        <v>273644.39</v>
      </c>
      <c r="E334" s="81">
        <v>-273644.39</v>
      </c>
      <c r="F334" s="81">
        <v>0</v>
      </c>
      <c r="G334" s="81">
        <v>273644.39</v>
      </c>
      <c r="H334" s="81">
        <v>-273644.39</v>
      </c>
      <c r="I334" s="81">
        <v>0</v>
      </c>
    </row>
    <row r="335" spans="1:9" ht="12.75">
      <c r="A335" t="s">
        <v>929</v>
      </c>
      <c r="B335" s="235" t="s">
        <v>930</v>
      </c>
      <c r="C335" s="81">
        <v>0</v>
      </c>
      <c r="D335" s="81">
        <v>0</v>
      </c>
      <c r="E335" s="81">
        <v>0</v>
      </c>
      <c r="F335" s="81">
        <v>0</v>
      </c>
      <c r="G335" s="81">
        <v>0</v>
      </c>
      <c r="H335" s="81">
        <v>0</v>
      </c>
      <c r="I335" s="81">
        <v>0</v>
      </c>
    </row>
    <row r="336" spans="1:9" ht="12.75">
      <c r="A336" t="s">
        <v>108</v>
      </c>
      <c r="B336" s="235" t="s">
        <v>930</v>
      </c>
      <c r="C336" s="81">
        <v>0</v>
      </c>
      <c r="D336" s="81">
        <v>0</v>
      </c>
      <c r="E336" s="81">
        <v>0</v>
      </c>
      <c r="F336" s="81">
        <v>0</v>
      </c>
      <c r="G336" s="81">
        <v>0</v>
      </c>
      <c r="H336" s="81">
        <v>0</v>
      </c>
      <c r="I336" s="81">
        <v>0</v>
      </c>
    </row>
    <row r="337" spans="1:9" ht="12.75">
      <c r="A337" t="s">
        <v>931</v>
      </c>
      <c r="B337" s="235" t="s">
        <v>519</v>
      </c>
      <c r="C337" s="81">
        <v>0</v>
      </c>
      <c r="D337" s="81">
        <v>0</v>
      </c>
      <c r="E337" s="81">
        <v>0</v>
      </c>
      <c r="F337" s="81">
        <v>0</v>
      </c>
      <c r="G337" s="81">
        <v>0</v>
      </c>
      <c r="H337" s="81">
        <v>0</v>
      </c>
      <c r="I337" s="81">
        <v>0</v>
      </c>
    </row>
    <row r="338" spans="1:9" ht="12.75">
      <c r="A338" t="s">
        <v>932</v>
      </c>
      <c r="B338" s="235" t="s">
        <v>623</v>
      </c>
      <c r="C338" s="81">
        <v>0</v>
      </c>
      <c r="D338" s="81">
        <v>3562539.27</v>
      </c>
      <c r="E338" s="81">
        <v>-3562539.27</v>
      </c>
      <c r="F338" s="81">
        <v>0</v>
      </c>
      <c r="G338" s="81">
        <v>3562539.27</v>
      </c>
      <c r="H338" s="81">
        <v>-3562539.27</v>
      </c>
      <c r="I338" s="81">
        <v>0</v>
      </c>
    </row>
    <row r="339" spans="1:9" ht="12.75">
      <c r="A339" t="s">
        <v>933</v>
      </c>
      <c r="B339" s="235" t="s">
        <v>624</v>
      </c>
      <c r="C339" s="81">
        <v>0</v>
      </c>
      <c r="D339" s="81">
        <v>13079.54</v>
      </c>
      <c r="E339" s="81">
        <v>-13079.54</v>
      </c>
      <c r="F339" s="81">
        <v>0</v>
      </c>
      <c r="G339" s="81">
        <v>13079.54</v>
      </c>
      <c r="H339" s="81">
        <v>-13079.54</v>
      </c>
      <c r="I339" s="81">
        <v>0</v>
      </c>
    </row>
    <row r="340" spans="1:9" ht="12.75">
      <c r="A340" t="s">
        <v>934</v>
      </c>
      <c r="B340" s="235" t="s">
        <v>625</v>
      </c>
      <c r="C340" s="81">
        <v>0</v>
      </c>
      <c r="D340" s="81">
        <v>0</v>
      </c>
      <c r="E340" s="81">
        <v>0</v>
      </c>
      <c r="F340" s="81">
        <v>0</v>
      </c>
      <c r="G340" s="81">
        <v>0</v>
      </c>
      <c r="H340" s="81">
        <v>0</v>
      </c>
      <c r="I340" s="81">
        <v>0</v>
      </c>
    </row>
    <row r="341" spans="1:9" ht="12.75">
      <c r="A341" t="s">
        <v>935</v>
      </c>
      <c r="B341" s="235" t="s">
        <v>626</v>
      </c>
      <c r="C341" s="81">
        <v>0</v>
      </c>
      <c r="D341" s="81">
        <v>15681.05</v>
      </c>
      <c r="E341" s="81">
        <v>-15681.05</v>
      </c>
      <c r="F341" s="81">
        <v>0</v>
      </c>
      <c r="G341" s="81">
        <v>15681.05</v>
      </c>
      <c r="H341" s="81">
        <v>-15681.05</v>
      </c>
      <c r="I341" s="81">
        <v>0</v>
      </c>
    </row>
    <row r="342" spans="1:9" ht="12.75">
      <c r="A342" t="s">
        <v>936</v>
      </c>
      <c r="B342" s="235" t="s">
        <v>627</v>
      </c>
      <c r="C342" s="81">
        <v>0</v>
      </c>
      <c r="D342" s="81">
        <v>0</v>
      </c>
      <c r="E342" s="81">
        <v>0</v>
      </c>
      <c r="F342" s="81">
        <v>0</v>
      </c>
      <c r="G342" s="81">
        <v>0</v>
      </c>
      <c r="H342" s="81">
        <v>0</v>
      </c>
      <c r="I342" s="81">
        <v>0</v>
      </c>
    </row>
    <row r="343" spans="1:9" ht="12.75">
      <c r="A343" t="s">
        <v>939</v>
      </c>
      <c r="B343" s="235" t="s">
        <v>628</v>
      </c>
      <c r="C343" s="81">
        <v>0</v>
      </c>
      <c r="D343" s="81">
        <v>0</v>
      </c>
      <c r="E343" s="81">
        <v>0</v>
      </c>
      <c r="F343" s="81">
        <v>0</v>
      </c>
      <c r="G343" s="81">
        <v>0</v>
      </c>
      <c r="H343" s="81">
        <v>0</v>
      </c>
      <c r="I343" s="81">
        <v>0</v>
      </c>
    </row>
    <row r="344" spans="1:9" ht="12.75">
      <c r="A344" t="s">
        <v>940</v>
      </c>
      <c r="B344" s="235" t="s">
        <v>629</v>
      </c>
      <c r="C344" s="81">
        <v>0</v>
      </c>
      <c r="D344" s="81">
        <v>0</v>
      </c>
      <c r="E344" s="81">
        <v>0</v>
      </c>
      <c r="F344" s="81">
        <v>0</v>
      </c>
      <c r="G344" s="81">
        <v>0</v>
      </c>
      <c r="H344" s="81">
        <v>0</v>
      </c>
      <c r="I344" s="81">
        <v>0</v>
      </c>
    </row>
    <row r="345" spans="1:9" ht="12.75">
      <c r="A345" t="s">
        <v>941</v>
      </c>
      <c r="B345" s="235" t="s">
        <v>630</v>
      </c>
      <c r="C345" s="81">
        <v>15326.71</v>
      </c>
      <c r="D345" s="81">
        <v>0</v>
      </c>
      <c r="E345" s="81">
        <v>15326.71</v>
      </c>
      <c r="F345" s="81">
        <v>15326.71</v>
      </c>
      <c r="G345" s="81">
        <v>0</v>
      </c>
      <c r="H345" s="81">
        <v>15326.71</v>
      </c>
      <c r="I345" s="81">
        <v>0</v>
      </c>
    </row>
    <row r="346" spans="1:9" ht="12.75">
      <c r="A346" t="s">
        <v>631</v>
      </c>
      <c r="B346" s="235" t="s">
        <v>634</v>
      </c>
      <c r="C346" s="81">
        <v>0</v>
      </c>
      <c r="D346" s="81">
        <v>74861.54</v>
      </c>
      <c r="E346" s="81">
        <v>-74861.54</v>
      </c>
      <c r="F346" s="81">
        <v>0</v>
      </c>
      <c r="G346" s="81">
        <v>74861.54</v>
      </c>
      <c r="H346" s="81">
        <v>-74861.54</v>
      </c>
      <c r="I346" s="81">
        <v>0</v>
      </c>
    </row>
    <row r="347" spans="1:9" ht="12.75">
      <c r="A347" t="s">
        <v>942</v>
      </c>
      <c r="B347" s="235" t="s">
        <v>640</v>
      </c>
      <c r="C347" s="81">
        <v>17882.84</v>
      </c>
      <c r="D347" s="81">
        <v>37310.17</v>
      </c>
      <c r="E347" s="81">
        <v>-19427.33</v>
      </c>
      <c r="F347" s="81">
        <v>17882.84</v>
      </c>
      <c r="G347" s="81">
        <v>37310.17</v>
      </c>
      <c r="H347" s="81">
        <v>-19427.33</v>
      </c>
      <c r="I347" s="81">
        <v>0</v>
      </c>
    </row>
    <row r="348" spans="1:9" ht="12.75">
      <c r="A348" t="s">
        <v>943</v>
      </c>
      <c r="B348" s="235" t="s">
        <v>641</v>
      </c>
      <c r="C348" s="81">
        <v>0</v>
      </c>
      <c r="D348" s="81">
        <v>0</v>
      </c>
      <c r="E348" s="81">
        <v>0</v>
      </c>
      <c r="F348" s="81">
        <v>0</v>
      </c>
      <c r="G348" s="81">
        <v>0</v>
      </c>
      <c r="H348" s="81">
        <v>0</v>
      </c>
      <c r="I348" s="81">
        <v>0</v>
      </c>
    </row>
    <row r="349" spans="1:9" ht="12.75">
      <c r="A349" t="s">
        <v>104</v>
      </c>
      <c r="B349" s="236" t="s">
        <v>898</v>
      </c>
      <c r="C349" s="237">
        <v>387739.94</v>
      </c>
      <c r="D349" s="237">
        <v>9822676.81</v>
      </c>
      <c r="E349" s="237">
        <v>-9434936.87</v>
      </c>
      <c r="F349" s="237">
        <v>387739.94</v>
      </c>
      <c r="G349" s="237">
        <v>9822676.81</v>
      </c>
      <c r="H349" s="237">
        <v>-9434936.87</v>
      </c>
      <c r="I349" s="237">
        <v>0</v>
      </c>
    </row>
    <row r="351" spans="1:9" ht="12.75">
      <c r="A351" t="s">
        <v>944</v>
      </c>
      <c r="B351" s="235" t="s">
        <v>945</v>
      </c>
      <c r="C351" s="81">
        <v>0</v>
      </c>
      <c r="D351" s="81">
        <v>0</v>
      </c>
      <c r="E351" s="81">
        <v>0</v>
      </c>
      <c r="F351" s="81">
        <v>0</v>
      </c>
      <c r="G351" s="81">
        <v>0</v>
      </c>
      <c r="H351" s="81">
        <v>0</v>
      </c>
      <c r="I351" s="81">
        <v>0</v>
      </c>
    </row>
    <row r="352" spans="1:9" ht="12.75">
      <c r="A352" t="s">
        <v>946</v>
      </c>
      <c r="B352" s="235" t="s">
        <v>947</v>
      </c>
      <c r="C352" s="81">
        <v>0</v>
      </c>
      <c r="D352" s="81">
        <v>0</v>
      </c>
      <c r="E352" s="81">
        <v>0</v>
      </c>
      <c r="F352" s="81">
        <v>0</v>
      </c>
      <c r="G352" s="81">
        <v>0</v>
      </c>
      <c r="H352" s="81">
        <v>0</v>
      </c>
      <c r="I352" s="81">
        <v>0</v>
      </c>
    </row>
    <row r="353" spans="1:9" ht="12.75">
      <c r="A353" t="s">
        <v>948</v>
      </c>
      <c r="B353" s="236" t="s">
        <v>945</v>
      </c>
      <c r="C353" s="237">
        <v>0</v>
      </c>
      <c r="D353" s="237">
        <v>0</v>
      </c>
      <c r="E353" s="237">
        <v>0</v>
      </c>
      <c r="F353" s="237">
        <v>0</v>
      </c>
      <c r="G353" s="237">
        <v>0</v>
      </c>
      <c r="H353" s="237">
        <v>0</v>
      </c>
      <c r="I353" s="237">
        <v>0</v>
      </c>
    </row>
    <row r="355" spans="1:9" ht="12.75">
      <c r="A355" t="s">
        <v>1098</v>
      </c>
      <c r="B355" s="235" t="s">
        <v>1099</v>
      </c>
      <c r="C355" s="81">
        <v>0</v>
      </c>
      <c r="D355" s="81">
        <v>0</v>
      </c>
      <c r="E355" s="81">
        <v>0</v>
      </c>
      <c r="F355" s="81">
        <v>0</v>
      </c>
      <c r="G355" s="81">
        <v>0</v>
      </c>
      <c r="H355" s="81">
        <v>0</v>
      </c>
      <c r="I355" s="81">
        <v>0</v>
      </c>
    </row>
    <row r="356" spans="1:9" ht="12.75">
      <c r="A356" t="s">
        <v>1100</v>
      </c>
      <c r="B356" s="235" t="s">
        <v>1101</v>
      </c>
      <c r="C356" s="81">
        <v>0</v>
      </c>
      <c r="D356" s="81">
        <v>8436312.11</v>
      </c>
      <c r="E356" s="81">
        <v>-8436312.11</v>
      </c>
      <c r="F356" s="81">
        <v>0</v>
      </c>
      <c r="G356" s="81">
        <v>8436312.11</v>
      </c>
      <c r="H356" s="81">
        <v>-8436312.11</v>
      </c>
      <c r="I356" s="81">
        <v>0</v>
      </c>
    </row>
    <row r="357" spans="1:9" ht="12.75">
      <c r="A357" t="s">
        <v>1102</v>
      </c>
      <c r="B357" s="236" t="s">
        <v>1099</v>
      </c>
      <c r="C357" s="237">
        <v>0</v>
      </c>
      <c r="D357" s="237">
        <v>8436312.11</v>
      </c>
      <c r="E357" s="237">
        <v>-8436312.11</v>
      </c>
      <c r="F357" s="237">
        <v>0</v>
      </c>
      <c r="G357" s="237">
        <v>8436312.11</v>
      </c>
      <c r="H357" s="237">
        <v>-8436312.11</v>
      </c>
      <c r="I357" s="237">
        <v>0</v>
      </c>
    </row>
    <row r="359" spans="1:9" ht="12.75">
      <c r="A359" t="s">
        <v>1103</v>
      </c>
      <c r="B359" s="235" t="s">
        <v>1104</v>
      </c>
      <c r="C359" s="81">
        <v>0</v>
      </c>
      <c r="D359" s="81">
        <v>606164.76</v>
      </c>
      <c r="E359" s="81">
        <v>-606164.76</v>
      </c>
      <c r="F359" s="81">
        <v>0</v>
      </c>
      <c r="G359" s="81">
        <v>606164.76</v>
      </c>
      <c r="H359" s="81">
        <v>-606164.76</v>
      </c>
      <c r="I359" s="81">
        <v>0</v>
      </c>
    </row>
    <row r="360" spans="1:9" ht="12.75">
      <c r="A360" t="s">
        <v>1105</v>
      </c>
      <c r="B360" s="235" t="s">
        <v>1106</v>
      </c>
      <c r="C360" s="81">
        <v>0</v>
      </c>
      <c r="D360" s="81">
        <v>0</v>
      </c>
      <c r="E360" s="81">
        <v>0</v>
      </c>
      <c r="F360" s="81">
        <v>0</v>
      </c>
      <c r="G360" s="81">
        <v>0</v>
      </c>
      <c r="H360" s="81">
        <v>0</v>
      </c>
      <c r="I360" s="81">
        <v>0</v>
      </c>
    </row>
    <row r="361" spans="1:9" ht="12.75">
      <c r="A361" t="s">
        <v>1107</v>
      </c>
      <c r="B361" s="236" t="s">
        <v>488</v>
      </c>
      <c r="C361" s="237">
        <v>0</v>
      </c>
      <c r="D361" s="237">
        <v>606164.76</v>
      </c>
      <c r="E361" s="237">
        <v>-606164.76</v>
      </c>
      <c r="F361" s="237">
        <v>0</v>
      </c>
      <c r="G361" s="237">
        <v>606164.76</v>
      </c>
      <c r="H361" s="237">
        <v>-606164.76</v>
      </c>
      <c r="I361" s="237">
        <v>0</v>
      </c>
    </row>
    <row r="363" spans="1:9" ht="12.75">
      <c r="A363" t="s">
        <v>949</v>
      </c>
      <c r="B363" s="235" t="s">
        <v>950</v>
      </c>
      <c r="C363" s="81">
        <v>0</v>
      </c>
      <c r="D363" s="81">
        <v>0</v>
      </c>
      <c r="E363" s="81">
        <v>0</v>
      </c>
      <c r="F363" s="81">
        <v>0</v>
      </c>
      <c r="G363" s="81">
        <v>0</v>
      </c>
      <c r="H363" s="81">
        <v>0</v>
      </c>
      <c r="I363" s="81">
        <v>0</v>
      </c>
    </row>
    <row r="364" spans="1:9" ht="12.75">
      <c r="A364" t="s">
        <v>951</v>
      </c>
      <c r="B364" s="235" t="s">
        <v>952</v>
      </c>
      <c r="C364" s="81">
        <v>0</v>
      </c>
      <c r="D364" s="81">
        <v>0</v>
      </c>
      <c r="E364" s="81">
        <v>0</v>
      </c>
      <c r="F364" s="81">
        <v>0</v>
      </c>
      <c r="G364" s="81">
        <v>0</v>
      </c>
      <c r="H364" s="81">
        <v>0</v>
      </c>
      <c r="I364" s="81">
        <v>0</v>
      </c>
    </row>
    <row r="365" spans="1:9" ht="12.75">
      <c r="A365" t="s">
        <v>953</v>
      </c>
      <c r="B365" s="236" t="s">
        <v>950</v>
      </c>
      <c r="C365" s="237">
        <v>0</v>
      </c>
      <c r="D365" s="237">
        <v>0</v>
      </c>
      <c r="E365" s="237">
        <v>0</v>
      </c>
      <c r="F365" s="237">
        <v>0</v>
      </c>
      <c r="G365" s="237">
        <v>0</v>
      </c>
      <c r="H365" s="237">
        <v>0</v>
      </c>
      <c r="I365" s="237">
        <v>0</v>
      </c>
    </row>
    <row r="367" spans="2:9" ht="12.75">
      <c r="B367" s="238" t="s">
        <v>954</v>
      </c>
      <c r="C367" s="239">
        <v>18865206.64</v>
      </c>
      <c r="D367" s="239">
        <v>18865206.64</v>
      </c>
      <c r="E367" s="239">
        <v>0</v>
      </c>
      <c r="F367" s="239">
        <v>18865206.64</v>
      </c>
      <c r="G367" s="239">
        <v>18865206.64</v>
      </c>
      <c r="H367" s="239">
        <v>0</v>
      </c>
      <c r="I367" s="239">
        <v>0</v>
      </c>
    </row>
    <row r="368" spans="3:9" ht="13.5" thickBot="1">
      <c r="C368" s="48"/>
      <c r="D368" s="48"/>
      <c r="E368" s="48"/>
      <c r="F368" s="48"/>
      <c r="G368" s="48"/>
      <c r="H368" s="48"/>
      <c r="I368" s="48"/>
    </row>
    <row r="369" spans="2:9" ht="13.5" thickBot="1">
      <c r="B369" s="240" t="s">
        <v>955</v>
      </c>
      <c r="C369" s="241">
        <v>7697198377.74</v>
      </c>
      <c r="D369" s="241">
        <v>7697198377.74</v>
      </c>
      <c r="E369" s="241">
        <v>0</v>
      </c>
      <c r="F369" s="241">
        <v>7697198377.74</v>
      </c>
      <c r="G369" s="241">
        <v>7697198377.74</v>
      </c>
      <c r="H369" s="241">
        <v>0</v>
      </c>
      <c r="I369" s="241">
        <v>0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/>
  <dimension ref="A1:IV317"/>
  <sheetViews>
    <sheetView workbookViewId="0" topLeftCell="A1">
      <pane ySplit="6" topLeftCell="BM7" activePane="bottomLeft" state="frozen"/>
      <selection pane="topLeft" activeCell="A1" sqref="A1"/>
      <selection pane="bottomLeft" activeCell="E30" sqref="E30"/>
    </sheetView>
  </sheetViews>
  <sheetFormatPr defaultColWidth="11.421875" defaultRowHeight="12.75"/>
  <cols>
    <col min="1" max="1" width="8.140625" style="0" customWidth="1"/>
    <col min="2" max="2" width="27.140625" style="0" bestFit="1" customWidth="1"/>
    <col min="3" max="4" width="13.00390625" style="0" bestFit="1" customWidth="1"/>
    <col min="5" max="5" width="13.57421875" style="0" bestFit="1" customWidth="1"/>
    <col min="6" max="6" width="14.140625" style="0" customWidth="1"/>
    <col min="7" max="7" width="13.00390625" style="0" bestFit="1" customWidth="1"/>
    <col min="8" max="8" width="13.57421875" style="0" bestFit="1" customWidth="1"/>
    <col min="9" max="9" width="4.00390625" style="0" customWidth="1"/>
    <col min="10" max="10" width="12.28125" style="0" bestFit="1" customWidth="1"/>
  </cols>
  <sheetData>
    <row r="1" spans="1:9" ht="13.5">
      <c r="A1" s="131"/>
      <c r="C1" s="231" t="s">
        <v>112</v>
      </c>
      <c r="D1" s="48"/>
      <c r="E1" s="48"/>
      <c r="F1" s="48"/>
      <c r="G1" s="48"/>
      <c r="H1" s="48"/>
      <c r="I1" s="48"/>
    </row>
    <row r="2" spans="1:9" ht="12.75">
      <c r="A2" s="232" t="s">
        <v>113</v>
      </c>
      <c r="C2" s="231"/>
      <c r="D2" s="48"/>
      <c r="E2" s="48"/>
      <c r="F2" s="48"/>
      <c r="G2" s="48"/>
      <c r="H2" s="48"/>
      <c r="I2" s="48"/>
    </row>
    <row r="3" spans="3:9" ht="12.75">
      <c r="C3" s="231" t="s">
        <v>460</v>
      </c>
      <c r="D3" s="48"/>
      <c r="E3" s="48"/>
      <c r="F3" s="48"/>
      <c r="G3" s="48"/>
      <c r="H3" s="48"/>
      <c r="I3" s="48"/>
    </row>
    <row r="4" spans="3:9" ht="12.75">
      <c r="C4" s="231" t="s">
        <v>461</v>
      </c>
      <c r="D4" s="48"/>
      <c r="E4" s="48"/>
      <c r="F4" s="48"/>
      <c r="G4" s="48"/>
      <c r="H4" s="48"/>
      <c r="I4" s="48"/>
    </row>
    <row r="8" spans="1:9" ht="12.75">
      <c r="A8" s="233" t="s">
        <v>114</v>
      </c>
      <c r="B8" s="233" t="s">
        <v>115</v>
      </c>
      <c r="C8" s="234" t="s">
        <v>116</v>
      </c>
      <c r="D8" s="234" t="s">
        <v>117</v>
      </c>
      <c r="E8" s="234" t="s">
        <v>118</v>
      </c>
      <c r="F8" s="234" t="s">
        <v>119</v>
      </c>
      <c r="G8" s="234" t="s">
        <v>120</v>
      </c>
      <c r="H8" s="234" t="s">
        <v>121</v>
      </c>
      <c r="I8" s="234"/>
    </row>
    <row r="10" spans="1:9" ht="12.75">
      <c r="A10" s="235" t="s">
        <v>377</v>
      </c>
      <c r="B10" s="235" t="s">
        <v>378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</row>
    <row r="11" spans="1:9" ht="12.75">
      <c r="A11" s="235" t="s">
        <v>379</v>
      </c>
      <c r="B11" s="235" t="s">
        <v>378</v>
      </c>
      <c r="C11" s="81">
        <v>0</v>
      </c>
      <c r="D11" s="81">
        <v>116034548.96</v>
      </c>
      <c r="E11" s="81">
        <v>-116034548.96</v>
      </c>
      <c r="F11" s="81">
        <v>0</v>
      </c>
      <c r="G11" s="81">
        <v>116034548.96</v>
      </c>
      <c r="H11" s="81">
        <v>-116034548.96</v>
      </c>
      <c r="I11" s="81">
        <v>0</v>
      </c>
    </row>
    <row r="12" spans="1:9" ht="12.75">
      <c r="A12" t="s">
        <v>380</v>
      </c>
      <c r="B12" s="236" t="s">
        <v>378</v>
      </c>
      <c r="C12" s="237">
        <v>0</v>
      </c>
      <c r="D12" s="237">
        <v>116034548.96</v>
      </c>
      <c r="E12" s="237">
        <v>-116034548.96</v>
      </c>
      <c r="F12" s="237">
        <v>0</v>
      </c>
      <c r="G12" s="237">
        <v>116034548.96</v>
      </c>
      <c r="H12" s="237">
        <v>-116034548.96</v>
      </c>
      <c r="I12" s="237">
        <v>0</v>
      </c>
    </row>
    <row r="14" spans="1:9" ht="12.75">
      <c r="A14" t="s">
        <v>381</v>
      </c>
      <c r="B14" s="235" t="s">
        <v>382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</row>
    <row r="15" spans="1:9" ht="12.75">
      <c r="A15" t="s">
        <v>383</v>
      </c>
      <c r="B15" s="235" t="s">
        <v>382</v>
      </c>
      <c r="C15" s="81">
        <v>116034548.96</v>
      </c>
      <c r="D15" s="81">
        <v>0</v>
      </c>
      <c r="E15" s="81">
        <v>116034548.96</v>
      </c>
      <c r="F15" s="81">
        <v>116034548.96</v>
      </c>
      <c r="G15" s="81">
        <v>0</v>
      </c>
      <c r="H15" s="81">
        <v>116034548.96</v>
      </c>
      <c r="I15" s="81">
        <v>0</v>
      </c>
    </row>
    <row r="16" spans="1:9" ht="12.75">
      <c r="A16" t="s">
        <v>384</v>
      </c>
      <c r="B16" s="236" t="s">
        <v>382</v>
      </c>
      <c r="C16" s="237">
        <v>116034548.96</v>
      </c>
      <c r="D16" s="237">
        <v>0</v>
      </c>
      <c r="E16" s="237">
        <v>116034548.96</v>
      </c>
      <c r="F16" s="237">
        <v>116034548.96</v>
      </c>
      <c r="G16" s="237">
        <v>0</v>
      </c>
      <c r="H16" s="237">
        <v>116034548.96</v>
      </c>
      <c r="I16" s="237">
        <v>0</v>
      </c>
    </row>
    <row r="18" spans="1:9" ht="12.75">
      <c r="A18" t="s">
        <v>122</v>
      </c>
      <c r="B18" s="235" t="s">
        <v>385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</row>
    <row r="19" spans="1:9" ht="12.75">
      <c r="A19" t="s">
        <v>123</v>
      </c>
      <c r="B19" s="235" t="s">
        <v>505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</row>
    <row r="20" spans="1:9" ht="12.75">
      <c r="A20" t="s">
        <v>127</v>
      </c>
      <c r="B20" s="235" t="s">
        <v>506</v>
      </c>
      <c r="C20" s="81">
        <v>60761.2</v>
      </c>
      <c r="D20" s="81">
        <v>0</v>
      </c>
      <c r="E20" s="81">
        <v>60761.2</v>
      </c>
      <c r="F20" s="81">
        <v>60761.2</v>
      </c>
      <c r="G20" s="81">
        <v>0</v>
      </c>
      <c r="H20" s="81">
        <v>60761.2</v>
      </c>
      <c r="I20" s="81">
        <v>0</v>
      </c>
    </row>
    <row r="21" spans="1:9" ht="12.75">
      <c r="A21" t="s">
        <v>129</v>
      </c>
      <c r="B21" s="236" t="s">
        <v>385</v>
      </c>
      <c r="C21" s="237">
        <v>60761.2</v>
      </c>
      <c r="D21" s="237">
        <v>0</v>
      </c>
      <c r="E21" s="237">
        <v>60761.2</v>
      </c>
      <c r="F21" s="237">
        <v>60761.2</v>
      </c>
      <c r="G21" s="237">
        <v>0</v>
      </c>
      <c r="H21" s="237">
        <v>60761.2</v>
      </c>
      <c r="I21" s="237">
        <v>0</v>
      </c>
    </row>
    <row r="23" spans="1:9" ht="12.75">
      <c r="A23" t="s">
        <v>130</v>
      </c>
      <c r="B23" s="235" t="s">
        <v>507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</row>
    <row r="24" spans="1:9" ht="12.75">
      <c r="A24" t="s">
        <v>131</v>
      </c>
      <c r="B24" s="235" t="s">
        <v>508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</row>
    <row r="25" spans="1:9" ht="12.75">
      <c r="A25" t="s">
        <v>132</v>
      </c>
      <c r="B25" s="235" t="s">
        <v>509</v>
      </c>
      <c r="C25" s="81">
        <v>128570960</v>
      </c>
      <c r="D25" s="81">
        <v>0</v>
      </c>
      <c r="E25" s="81">
        <v>128570960</v>
      </c>
      <c r="F25" s="81">
        <v>128570960</v>
      </c>
      <c r="G25" s="81">
        <v>0</v>
      </c>
      <c r="H25" s="81">
        <v>128570960</v>
      </c>
      <c r="I25" s="81">
        <v>0</v>
      </c>
    </row>
    <row r="26" spans="1:9" ht="12.75">
      <c r="A26" t="s">
        <v>133</v>
      </c>
      <c r="B26" s="235" t="s">
        <v>510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</row>
    <row r="27" spans="1:9" ht="12.75">
      <c r="A27" t="s">
        <v>134</v>
      </c>
      <c r="B27" s="235" t="s">
        <v>511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</row>
    <row r="28" spans="1:9" ht="12.75">
      <c r="A28" t="s">
        <v>135</v>
      </c>
      <c r="B28" s="235" t="s">
        <v>512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</row>
    <row r="29" spans="1:9" ht="12.75">
      <c r="A29" t="s">
        <v>136</v>
      </c>
      <c r="B29" s="236" t="s">
        <v>507</v>
      </c>
      <c r="C29" s="237">
        <v>128570960</v>
      </c>
      <c r="D29" s="237">
        <v>0</v>
      </c>
      <c r="E29" s="237">
        <v>128570960</v>
      </c>
      <c r="F29" s="237">
        <v>128570960</v>
      </c>
      <c r="G29" s="237">
        <v>0</v>
      </c>
      <c r="H29" s="237">
        <v>128570960</v>
      </c>
      <c r="I29" s="237">
        <v>0</v>
      </c>
    </row>
    <row r="31" spans="1:9" ht="12.75">
      <c r="A31" t="s">
        <v>137</v>
      </c>
      <c r="B31" s="235" t="s">
        <v>138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</row>
    <row r="32" spans="1:9" ht="12.75">
      <c r="A32" t="s">
        <v>139</v>
      </c>
      <c r="B32" s="235" t="s">
        <v>140</v>
      </c>
      <c r="C32" s="81">
        <v>0</v>
      </c>
      <c r="D32" s="81">
        <v>66423.36</v>
      </c>
      <c r="E32" s="81">
        <v>-66423.36</v>
      </c>
      <c r="F32" s="81">
        <v>0</v>
      </c>
      <c r="G32" s="81">
        <v>66423.36</v>
      </c>
      <c r="H32" s="81">
        <v>-66423.36</v>
      </c>
      <c r="I32" s="81">
        <v>0</v>
      </c>
    </row>
    <row r="33" spans="1:9" ht="12.75">
      <c r="A33" t="s">
        <v>141</v>
      </c>
      <c r="B33" s="235" t="s">
        <v>138</v>
      </c>
      <c r="C33" s="81">
        <v>0</v>
      </c>
      <c r="D33" s="81">
        <v>12454.38</v>
      </c>
      <c r="E33" s="81">
        <v>-12454.38</v>
      </c>
      <c r="F33" s="81">
        <v>0</v>
      </c>
      <c r="G33" s="81">
        <v>12454.38</v>
      </c>
      <c r="H33" s="81">
        <v>-12454.38</v>
      </c>
      <c r="I33" s="81">
        <v>0</v>
      </c>
    </row>
    <row r="34" spans="1:9" ht="12.75">
      <c r="A34" t="s">
        <v>142</v>
      </c>
      <c r="B34" s="236" t="s">
        <v>138</v>
      </c>
      <c r="C34" s="237">
        <v>0</v>
      </c>
      <c r="D34" s="237">
        <v>78877.74</v>
      </c>
      <c r="E34" s="237">
        <v>-78877.74</v>
      </c>
      <c r="F34" s="237">
        <v>0</v>
      </c>
      <c r="G34" s="237">
        <v>78877.74</v>
      </c>
      <c r="H34" s="237">
        <v>-78877.74</v>
      </c>
      <c r="I34" s="237">
        <v>0</v>
      </c>
    </row>
    <row r="36" spans="1:9" ht="12.75">
      <c r="A36" t="s">
        <v>143</v>
      </c>
      <c r="B36" s="235" t="s">
        <v>513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</row>
    <row r="37" spans="1:9" ht="12.75">
      <c r="A37" t="s">
        <v>144</v>
      </c>
      <c r="B37" s="235" t="s">
        <v>513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</row>
    <row r="38" spans="1:9" ht="12.75">
      <c r="A38" t="s">
        <v>145</v>
      </c>
      <c r="B38" s="235" t="s">
        <v>514</v>
      </c>
      <c r="C38" s="81">
        <v>1170874.24</v>
      </c>
      <c r="D38" s="81">
        <v>2074685.73</v>
      </c>
      <c r="E38" s="81">
        <v>-903811.49</v>
      </c>
      <c r="F38" s="81">
        <v>1170874.24</v>
      </c>
      <c r="G38" s="81">
        <v>2074685.73</v>
      </c>
      <c r="H38" s="81">
        <v>-903811.49</v>
      </c>
      <c r="I38" s="81">
        <v>0</v>
      </c>
    </row>
    <row r="39" spans="1:9" ht="12.75">
      <c r="A39" t="s">
        <v>515</v>
      </c>
      <c r="B39" s="235" t="s">
        <v>516</v>
      </c>
      <c r="C39" s="81">
        <v>0</v>
      </c>
      <c r="D39" s="81">
        <v>1655836.48</v>
      </c>
      <c r="E39" s="81">
        <v>-1655836.48</v>
      </c>
      <c r="F39" s="81">
        <v>0</v>
      </c>
      <c r="G39" s="81">
        <v>1655836.48</v>
      </c>
      <c r="H39" s="81">
        <v>-1655836.48</v>
      </c>
      <c r="I39" s="81">
        <v>0</v>
      </c>
    </row>
    <row r="40" spans="1:9" ht="12.75">
      <c r="A40" t="s">
        <v>517</v>
      </c>
      <c r="B40" s="235" t="s">
        <v>518</v>
      </c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</row>
    <row r="41" spans="1:9" ht="12.75">
      <c r="A41" t="s">
        <v>146</v>
      </c>
      <c r="B41" s="235" t="s">
        <v>147</v>
      </c>
      <c r="C41" s="81">
        <v>0</v>
      </c>
      <c r="D41" s="81">
        <v>1804904.73</v>
      </c>
      <c r="E41" s="81">
        <v>-1804904.73</v>
      </c>
      <c r="F41" s="81">
        <v>0</v>
      </c>
      <c r="G41" s="81">
        <v>1804904.73</v>
      </c>
      <c r="H41" s="81">
        <v>-1804904.73</v>
      </c>
      <c r="I41" s="81">
        <v>0</v>
      </c>
    </row>
    <row r="42" spans="1:9" ht="12.75">
      <c r="A42" t="s">
        <v>148</v>
      </c>
      <c r="B42" s="235" t="s">
        <v>149</v>
      </c>
      <c r="C42" s="81">
        <v>0</v>
      </c>
      <c r="D42" s="81">
        <v>379.86</v>
      </c>
      <c r="E42" s="81">
        <v>-379.86</v>
      </c>
      <c r="F42" s="81">
        <v>0</v>
      </c>
      <c r="G42" s="81">
        <v>379.86</v>
      </c>
      <c r="H42" s="81">
        <v>-379.86</v>
      </c>
      <c r="I42" s="81">
        <v>0</v>
      </c>
    </row>
    <row r="43" spans="1:9" ht="12.75">
      <c r="A43" t="s">
        <v>150</v>
      </c>
      <c r="B43" s="235" t="s">
        <v>151</v>
      </c>
      <c r="C43" s="81">
        <v>0</v>
      </c>
      <c r="D43" s="81">
        <v>15001857.76</v>
      </c>
      <c r="E43" s="81">
        <v>-15001857.76</v>
      </c>
      <c r="F43" s="81">
        <v>0</v>
      </c>
      <c r="G43" s="81">
        <v>15001857.76</v>
      </c>
      <c r="H43" s="81">
        <v>-15001857.76</v>
      </c>
      <c r="I43" s="81">
        <v>0</v>
      </c>
    </row>
    <row r="44" spans="1:9" ht="12.75">
      <c r="A44" t="s">
        <v>152</v>
      </c>
      <c r="B44" s="235" t="s">
        <v>153</v>
      </c>
      <c r="C44" s="81">
        <v>614382.88</v>
      </c>
      <c r="D44" s="81">
        <v>0</v>
      </c>
      <c r="E44" s="81">
        <v>614382.88</v>
      </c>
      <c r="F44" s="81">
        <v>614382.88</v>
      </c>
      <c r="G44" s="81">
        <v>0</v>
      </c>
      <c r="H44" s="81">
        <v>614382.88</v>
      </c>
      <c r="I44" s="81">
        <v>0</v>
      </c>
    </row>
    <row r="45" spans="1:9" ht="12.75">
      <c r="A45" t="s">
        <v>154</v>
      </c>
      <c r="B45" s="235" t="s">
        <v>155</v>
      </c>
      <c r="C45" s="81">
        <v>0</v>
      </c>
      <c r="D45" s="81">
        <v>10034571.63</v>
      </c>
      <c r="E45" s="81">
        <v>-10034571.63</v>
      </c>
      <c r="F45" s="81">
        <v>0</v>
      </c>
      <c r="G45" s="81">
        <v>10034571.63</v>
      </c>
      <c r="H45" s="81">
        <v>-10034571.63</v>
      </c>
      <c r="I45" s="81">
        <v>0</v>
      </c>
    </row>
    <row r="46" spans="1:9" ht="12.75">
      <c r="A46" t="s">
        <v>156</v>
      </c>
      <c r="B46" s="235" t="s">
        <v>157</v>
      </c>
      <c r="C46" s="81">
        <v>379.86</v>
      </c>
      <c r="D46" s="81">
        <v>0</v>
      </c>
      <c r="E46" s="81">
        <v>379.86</v>
      </c>
      <c r="F46" s="81">
        <v>379.86</v>
      </c>
      <c r="G46" s="81">
        <v>0</v>
      </c>
      <c r="H46" s="81">
        <v>379.86</v>
      </c>
      <c r="I46" s="81">
        <v>0</v>
      </c>
    </row>
    <row r="47" spans="1:9" ht="12.75">
      <c r="A47" t="s">
        <v>158</v>
      </c>
      <c r="B47" s="235" t="s">
        <v>159</v>
      </c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</row>
    <row r="48" spans="1:9" ht="12.75">
      <c r="A48" t="s">
        <v>160</v>
      </c>
      <c r="B48" s="235" t="s">
        <v>161</v>
      </c>
      <c r="C48" s="81">
        <v>141374.67</v>
      </c>
      <c r="D48" s="81">
        <v>0</v>
      </c>
      <c r="E48" s="81">
        <v>141374.67</v>
      </c>
      <c r="F48" s="81">
        <v>141374.67</v>
      </c>
      <c r="G48" s="81">
        <v>0</v>
      </c>
      <c r="H48" s="81">
        <v>141374.67</v>
      </c>
      <c r="I48" s="81">
        <v>0</v>
      </c>
    </row>
    <row r="49" spans="1:9" ht="12.75">
      <c r="A49" t="s">
        <v>101</v>
      </c>
      <c r="B49" s="236" t="s">
        <v>513</v>
      </c>
      <c r="C49" s="237">
        <v>1927011.65</v>
      </c>
      <c r="D49" s="237">
        <v>30572236.19</v>
      </c>
      <c r="E49" s="237">
        <v>-28645224.54</v>
      </c>
      <c r="F49" s="237">
        <v>1927011.65</v>
      </c>
      <c r="G49" s="237">
        <v>30572236.19</v>
      </c>
      <c r="H49" s="237">
        <v>-28645224.54</v>
      </c>
      <c r="I49" s="237">
        <v>0</v>
      </c>
    </row>
    <row r="51" spans="1:9" ht="12.75">
      <c r="A51" t="s">
        <v>162</v>
      </c>
      <c r="B51" s="235" t="s">
        <v>519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</row>
    <row r="52" spans="1:9" ht="12.75">
      <c r="A52" t="s">
        <v>163</v>
      </c>
      <c r="B52" s="235" t="s">
        <v>519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</row>
    <row r="53" spans="1:9" ht="12.75">
      <c r="A53" t="s">
        <v>164</v>
      </c>
      <c r="B53" s="235" t="s">
        <v>165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</row>
    <row r="54" spans="1:9" ht="12.75">
      <c r="A54" t="s">
        <v>166</v>
      </c>
      <c r="B54" s="235" t="s">
        <v>520</v>
      </c>
      <c r="C54" s="81">
        <v>0</v>
      </c>
      <c r="D54" s="81">
        <v>271239.05</v>
      </c>
      <c r="E54" s="81">
        <v>-271239.05</v>
      </c>
      <c r="F54" s="81">
        <v>0</v>
      </c>
      <c r="G54" s="81">
        <v>271239.05</v>
      </c>
      <c r="H54" s="81">
        <v>-271239.05</v>
      </c>
      <c r="I54" s="81">
        <v>0</v>
      </c>
    </row>
    <row r="55" spans="1:9" ht="12.75">
      <c r="A55" t="s">
        <v>167</v>
      </c>
      <c r="B55" s="235" t="s">
        <v>521</v>
      </c>
      <c r="C55" s="81">
        <v>0</v>
      </c>
      <c r="D55" s="81">
        <v>23695.39</v>
      </c>
      <c r="E55" s="81">
        <v>-23695.39</v>
      </c>
      <c r="F55" s="81">
        <v>0</v>
      </c>
      <c r="G55" s="81">
        <v>23695.39</v>
      </c>
      <c r="H55" s="81">
        <v>-23695.39</v>
      </c>
      <c r="I55" s="81">
        <v>0</v>
      </c>
    </row>
    <row r="56" spans="1:9" ht="12.75">
      <c r="A56" t="s">
        <v>168</v>
      </c>
      <c r="B56" s="235" t="s">
        <v>522</v>
      </c>
      <c r="C56" s="81">
        <v>0</v>
      </c>
      <c r="D56" s="81">
        <v>56409698.43</v>
      </c>
      <c r="E56" s="81">
        <v>-56409698.43</v>
      </c>
      <c r="F56" s="81">
        <v>0</v>
      </c>
      <c r="G56" s="81">
        <v>56409698.43</v>
      </c>
      <c r="H56" s="81">
        <v>-56409698.43</v>
      </c>
      <c r="I56" s="81">
        <v>0</v>
      </c>
    </row>
    <row r="57" spans="1:9" ht="12.75">
      <c r="A57" t="s">
        <v>169</v>
      </c>
      <c r="B57" s="235" t="s">
        <v>523</v>
      </c>
      <c r="C57" s="81">
        <v>5861961.55</v>
      </c>
      <c r="D57" s="81">
        <v>0</v>
      </c>
      <c r="E57" s="81">
        <v>5861961.55</v>
      </c>
      <c r="F57" s="81">
        <v>5861961.55</v>
      </c>
      <c r="G57" s="81">
        <v>0</v>
      </c>
      <c r="H57" s="81">
        <v>5861961.55</v>
      </c>
      <c r="I57" s="81">
        <v>0</v>
      </c>
    </row>
    <row r="58" spans="1:9" ht="12.75">
      <c r="A58" t="s">
        <v>170</v>
      </c>
      <c r="B58" s="235" t="s">
        <v>524</v>
      </c>
      <c r="C58" s="81">
        <v>0</v>
      </c>
      <c r="D58" s="81">
        <v>9663658.29</v>
      </c>
      <c r="E58" s="81">
        <v>-9663658.29</v>
      </c>
      <c r="F58" s="81">
        <v>0</v>
      </c>
      <c r="G58" s="81">
        <v>9663658.29</v>
      </c>
      <c r="H58" s="81">
        <v>-9663658.29</v>
      </c>
      <c r="I58" s="81">
        <v>0</v>
      </c>
    </row>
    <row r="59" spans="1:9" ht="12.75">
      <c r="A59" t="s">
        <v>171</v>
      </c>
      <c r="B59" s="235" t="s">
        <v>525</v>
      </c>
      <c r="C59" s="81">
        <v>6185.88</v>
      </c>
      <c r="D59" s="81">
        <v>0</v>
      </c>
      <c r="E59" s="81">
        <v>6185.88</v>
      </c>
      <c r="F59" s="81">
        <v>6185.88</v>
      </c>
      <c r="G59" s="81">
        <v>0</v>
      </c>
      <c r="H59" s="81">
        <v>6185.88</v>
      </c>
      <c r="I59" s="81">
        <v>0</v>
      </c>
    </row>
    <row r="60" spans="1:9" ht="12.75">
      <c r="A60" t="s">
        <v>172</v>
      </c>
      <c r="B60" s="235" t="s">
        <v>529</v>
      </c>
      <c r="C60" s="81">
        <v>134315.49</v>
      </c>
      <c r="D60" s="81">
        <v>0</v>
      </c>
      <c r="E60" s="81">
        <v>134315.49</v>
      </c>
      <c r="F60" s="81">
        <v>134315.49</v>
      </c>
      <c r="G60" s="81">
        <v>0</v>
      </c>
      <c r="H60" s="81">
        <v>134315.49</v>
      </c>
      <c r="I60" s="81">
        <v>0</v>
      </c>
    </row>
    <row r="61" spans="1:9" ht="12.75">
      <c r="A61" t="s">
        <v>103</v>
      </c>
      <c r="B61" s="236" t="s">
        <v>519</v>
      </c>
      <c r="C61" s="237">
        <v>6002462.92</v>
      </c>
      <c r="D61" s="237">
        <v>66368291.16</v>
      </c>
      <c r="E61" s="237">
        <v>-60365828.24</v>
      </c>
      <c r="F61" s="237">
        <v>6002462.92</v>
      </c>
      <c r="G61" s="237">
        <v>66368291.16</v>
      </c>
      <c r="H61" s="237">
        <v>-60365828.24</v>
      </c>
      <c r="I61" s="237">
        <v>0</v>
      </c>
    </row>
    <row r="63" spans="1:9" ht="12.75">
      <c r="A63" t="s">
        <v>173</v>
      </c>
      <c r="B63" s="235" t="s">
        <v>174</v>
      </c>
      <c r="C63" s="81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</row>
    <row r="64" spans="1:9" ht="12.75">
      <c r="A64" t="s">
        <v>175</v>
      </c>
      <c r="B64" s="235" t="s">
        <v>176</v>
      </c>
      <c r="C64" s="81">
        <v>0</v>
      </c>
      <c r="D64" s="81">
        <v>35548368.75</v>
      </c>
      <c r="E64" s="81">
        <v>-35548368.75</v>
      </c>
      <c r="F64" s="81">
        <v>0</v>
      </c>
      <c r="G64" s="81">
        <v>35548368.75</v>
      </c>
      <c r="H64" s="81">
        <v>-35548368.75</v>
      </c>
      <c r="I64" s="81">
        <v>0</v>
      </c>
    </row>
    <row r="65" spans="1:9" ht="12.75">
      <c r="A65" t="s">
        <v>177</v>
      </c>
      <c r="B65" s="235" t="s">
        <v>178</v>
      </c>
      <c r="C65" s="81">
        <v>2274.54</v>
      </c>
      <c r="D65" s="81">
        <v>2461.58</v>
      </c>
      <c r="E65" s="81">
        <v>-187.04</v>
      </c>
      <c r="F65" s="81">
        <v>2274.54</v>
      </c>
      <c r="G65" s="81">
        <v>2461.58</v>
      </c>
      <c r="H65" s="81">
        <v>-187.04</v>
      </c>
      <c r="I65" s="81">
        <v>0</v>
      </c>
    </row>
    <row r="66" spans="1:9" ht="12.75">
      <c r="A66" t="s">
        <v>179</v>
      </c>
      <c r="B66" s="235" t="s">
        <v>180</v>
      </c>
      <c r="C66" s="81">
        <v>15001857.76</v>
      </c>
      <c r="D66" s="81">
        <v>0</v>
      </c>
      <c r="E66" s="81">
        <v>15001857.76</v>
      </c>
      <c r="F66" s="81">
        <v>15001857.76</v>
      </c>
      <c r="G66" s="81">
        <v>0</v>
      </c>
      <c r="H66" s="81">
        <v>15001857.76</v>
      </c>
      <c r="I66" s="81">
        <v>0</v>
      </c>
    </row>
    <row r="67" spans="1:9" ht="12.75">
      <c r="A67" t="s">
        <v>181</v>
      </c>
      <c r="B67" s="235" t="s">
        <v>182</v>
      </c>
      <c r="C67" s="81">
        <v>0</v>
      </c>
      <c r="D67" s="81">
        <v>0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</row>
    <row r="68" spans="1:9" ht="12.75">
      <c r="A68" t="s">
        <v>183</v>
      </c>
      <c r="B68" s="235" t="s">
        <v>184</v>
      </c>
      <c r="C68" s="81">
        <v>21160169.2</v>
      </c>
      <c r="D68" s="81">
        <v>0</v>
      </c>
      <c r="E68" s="81">
        <v>21160169.2</v>
      </c>
      <c r="F68" s="81">
        <v>21160169.2</v>
      </c>
      <c r="G68" s="81">
        <v>0</v>
      </c>
      <c r="H68" s="81">
        <v>21160169.2</v>
      </c>
      <c r="I68" s="81">
        <v>0</v>
      </c>
    </row>
    <row r="69" spans="1:9" ht="12.75">
      <c r="A69" t="s">
        <v>185</v>
      </c>
      <c r="B69" s="236" t="s">
        <v>174</v>
      </c>
      <c r="C69" s="237">
        <v>36164301.5</v>
      </c>
      <c r="D69" s="237">
        <v>35550830.33</v>
      </c>
      <c r="E69" s="237">
        <v>613471.17</v>
      </c>
      <c r="F69" s="237">
        <v>36164301.5</v>
      </c>
      <c r="G69" s="237">
        <v>35550830.33</v>
      </c>
      <c r="H69" s="237">
        <v>613471.17</v>
      </c>
      <c r="I69" s="237">
        <v>0</v>
      </c>
    </row>
    <row r="71" spans="1:9" ht="12.75">
      <c r="A71" t="s">
        <v>186</v>
      </c>
      <c r="B71" s="235" t="s">
        <v>530</v>
      </c>
      <c r="C71" s="81">
        <v>0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</row>
    <row r="72" spans="1:9" ht="12.75">
      <c r="A72" t="s">
        <v>187</v>
      </c>
      <c r="B72" s="235" t="s">
        <v>531</v>
      </c>
      <c r="C72" s="81">
        <v>0</v>
      </c>
      <c r="D72" s="81">
        <v>74820622.78</v>
      </c>
      <c r="E72" s="81">
        <v>-74820622.78</v>
      </c>
      <c r="F72" s="81">
        <v>0</v>
      </c>
      <c r="G72" s="81">
        <v>74820622.78</v>
      </c>
      <c r="H72" s="81">
        <v>-74820622.78</v>
      </c>
      <c r="I72" s="81">
        <v>0</v>
      </c>
    </row>
    <row r="73" spans="1:9" ht="12.75">
      <c r="A73" t="s">
        <v>188</v>
      </c>
      <c r="B73" s="235" t="s">
        <v>532</v>
      </c>
      <c r="C73" s="81">
        <v>169342.57</v>
      </c>
      <c r="D73" s="81">
        <v>35562.3</v>
      </c>
      <c r="E73" s="81">
        <v>133780.27</v>
      </c>
      <c r="F73" s="81">
        <v>169342.57</v>
      </c>
      <c r="G73" s="81">
        <v>35562.3</v>
      </c>
      <c r="H73" s="81">
        <v>133780.27</v>
      </c>
      <c r="I73" s="81">
        <v>0</v>
      </c>
    </row>
    <row r="74" spans="1:9" ht="12.75">
      <c r="A74" t="s">
        <v>189</v>
      </c>
      <c r="B74" s="235" t="s">
        <v>533</v>
      </c>
      <c r="C74" s="81">
        <v>56409698.43</v>
      </c>
      <c r="D74" s="81">
        <v>0</v>
      </c>
      <c r="E74" s="81">
        <v>56409698.43</v>
      </c>
      <c r="F74" s="81">
        <v>56409698.43</v>
      </c>
      <c r="G74" s="81">
        <v>0</v>
      </c>
      <c r="H74" s="81">
        <v>56409698.43</v>
      </c>
      <c r="I74" s="81">
        <v>0</v>
      </c>
    </row>
    <row r="75" spans="1:9" ht="12.75">
      <c r="A75" t="s">
        <v>190</v>
      </c>
      <c r="B75" s="235" t="s">
        <v>534</v>
      </c>
      <c r="C75" s="81">
        <v>0</v>
      </c>
      <c r="D75" s="81">
        <v>0</v>
      </c>
      <c r="E75" s="81">
        <v>0</v>
      </c>
      <c r="F75" s="81">
        <v>0</v>
      </c>
      <c r="G75" s="81">
        <v>0</v>
      </c>
      <c r="H75" s="81">
        <v>0</v>
      </c>
      <c r="I75" s="81">
        <v>0</v>
      </c>
    </row>
    <row r="76" spans="1:9" ht="12.75">
      <c r="A76" t="s">
        <v>191</v>
      </c>
      <c r="B76" s="235" t="s">
        <v>535</v>
      </c>
      <c r="C76" s="81">
        <v>19420118.82</v>
      </c>
      <c r="D76" s="81">
        <v>0</v>
      </c>
      <c r="E76" s="81">
        <v>19420118.82</v>
      </c>
      <c r="F76" s="81">
        <v>19420118.82</v>
      </c>
      <c r="G76" s="81">
        <v>0</v>
      </c>
      <c r="H76" s="81">
        <v>19420118.82</v>
      </c>
      <c r="I76" s="81">
        <v>0</v>
      </c>
    </row>
    <row r="77" spans="1:9" ht="12.75">
      <c r="A77" t="s">
        <v>192</v>
      </c>
      <c r="B77" s="236" t="s">
        <v>530</v>
      </c>
      <c r="C77" s="237">
        <v>75999159.82</v>
      </c>
      <c r="D77" s="237">
        <v>74856185.08</v>
      </c>
      <c r="E77" s="237">
        <v>1142974.74</v>
      </c>
      <c r="F77" s="237">
        <v>75999159.82</v>
      </c>
      <c r="G77" s="237">
        <v>74856185.08</v>
      </c>
      <c r="H77" s="237">
        <v>1142974.74</v>
      </c>
      <c r="I77" s="237">
        <v>0</v>
      </c>
    </row>
    <row r="79" spans="1:9" ht="12.75">
      <c r="A79" t="s">
        <v>193</v>
      </c>
      <c r="B79" s="235" t="s">
        <v>194</v>
      </c>
      <c r="C79" s="81">
        <v>0</v>
      </c>
      <c r="D79" s="81">
        <v>0</v>
      </c>
      <c r="E79" s="81">
        <v>0</v>
      </c>
      <c r="F79" s="81">
        <v>0</v>
      </c>
      <c r="G79" s="81">
        <v>0</v>
      </c>
      <c r="H79" s="81">
        <v>0</v>
      </c>
      <c r="I79" s="81">
        <v>0</v>
      </c>
    </row>
    <row r="80" spans="1:9" ht="12.75">
      <c r="A80" t="s">
        <v>195</v>
      </c>
      <c r="B80" s="235" t="s">
        <v>196</v>
      </c>
      <c r="C80" s="81">
        <v>0</v>
      </c>
      <c r="D80" s="81">
        <v>101050.86</v>
      </c>
      <c r="E80" s="81">
        <v>-101050.86</v>
      </c>
      <c r="F80" s="81">
        <v>0</v>
      </c>
      <c r="G80" s="81">
        <v>101050.86</v>
      </c>
      <c r="H80" s="81">
        <v>-101050.86</v>
      </c>
      <c r="I80" s="81">
        <v>0</v>
      </c>
    </row>
    <row r="81" spans="1:9" ht="12.75">
      <c r="A81" t="s">
        <v>197</v>
      </c>
      <c r="B81" s="235" t="s">
        <v>198</v>
      </c>
      <c r="C81" s="81">
        <v>2461.58</v>
      </c>
      <c r="D81" s="81">
        <v>2274.54</v>
      </c>
      <c r="E81" s="81">
        <v>187.04</v>
      </c>
      <c r="F81" s="81">
        <v>2461.58</v>
      </c>
      <c r="G81" s="81">
        <v>2274.54</v>
      </c>
      <c r="H81" s="81">
        <v>187.04</v>
      </c>
      <c r="I81" s="81">
        <v>0</v>
      </c>
    </row>
    <row r="82" spans="1:9" ht="12.75">
      <c r="A82" t="s">
        <v>199</v>
      </c>
      <c r="B82" s="235" t="s">
        <v>200</v>
      </c>
      <c r="C82" s="81">
        <v>379.86</v>
      </c>
      <c r="D82" s="81">
        <v>0</v>
      </c>
      <c r="E82" s="81">
        <v>379.86</v>
      </c>
      <c r="F82" s="81">
        <v>379.86</v>
      </c>
      <c r="G82" s="81">
        <v>0</v>
      </c>
      <c r="H82" s="81">
        <v>379.86</v>
      </c>
      <c r="I82" s="81">
        <v>0</v>
      </c>
    </row>
    <row r="83" spans="1:9" ht="12.75">
      <c r="A83" t="s">
        <v>201</v>
      </c>
      <c r="B83" s="235" t="s">
        <v>202</v>
      </c>
      <c r="C83" s="81">
        <v>111436.67</v>
      </c>
      <c r="D83" s="81">
        <v>0</v>
      </c>
      <c r="E83" s="81">
        <v>111436.67</v>
      </c>
      <c r="F83" s="81">
        <v>111436.67</v>
      </c>
      <c r="G83" s="81">
        <v>0</v>
      </c>
      <c r="H83" s="81">
        <v>111436.67</v>
      </c>
      <c r="I83" s="81">
        <v>0</v>
      </c>
    </row>
    <row r="84" spans="1:9" ht="12.75">
      <c r="A84" t="s">
        <v>203</v>
      </c>
      <c r="B84" s="235" t="s">
        <v>204</v>
      </c>
      <c r="C84" s="81">
        <v>0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</row>
    <row r="85" spans="1:9" ht="12.75">
      <c r="A85" t="s">
        <v>205</v>
      </c>
      <c r="B85" s="236" t="s">
        <v>194</v>
      </c>
      <c r="C85" s="237">
        <v>114278.11</v>
      </c>
      <c r="D85" s="237">
        <v>103325.4</v>
      </c>
      <c r="E85" s="237">
        <v>10952.71</v>
      </c>
      <c r="F85" s="237">
        <v>114278.11</v>
      </c>
      <c r="G85" s="237">
        <v>103325.4</v>
      </c>
      <c r="H85" s="237">
        <v>10952.71</v>
      </c>
      <c r="I85" s="237">
        <v>0</v>
      </c>
    </row>
    <row r="87" spans="1:9" ht="12.75">
      <c r="A87" t="s">
        <v>206</v>
      </c>
      <c r="B87" s="235" t="s">
        <v>536</v>
      </c>
      <c r="C87" s="81">
        <v>0</v>
      </c>
      <c r="D87" s="81">
        <v>0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</row>
    <row r="88" spans="1:9" ht="12.75">
      <c r="A88" t="s">
        <v>207</v>
      </c>
      <c r="B88" s="235" t="s">
        <v>537</v>
      </c>
      <c r="C88" s="81">
        <v>0</v>
      </c>
      <c r="D88" s="81">
        <v>996276.4</v>
      </c>
      <c r="E88" s="81">
        <v>-996276.4</v>
      </c>
      <c r="F88" s="81">
        <v>0</v>
      </c>
      <c r="G88" s="81">
        <v>996276.4</v>
      </c>
      <c r="H88" s="81">
        <v>-996276.4</v>
      </c>
      <c r="I88" s="81">
        <v>0</v>
      </c>
    </row>
    <row r="89" spans="1:9" ht="12.75">
      <c r="A89" t="s">
        <v>208</v>
      </c>
      <c r="B89" s="235" t="s">
        <v>538</v>
      </c>
      <c r="C89" s="81">
        <v>35562.3</v>
      </c>
      <c r="D89" s="81">
        <v>169342.57</v>
      </c>
      <c r="E89" s="81">
        <v>-133780.27</v>
      </c>
      <c r="F89" s="81">
        <v>35562.3</v>
      </c>
      <c r="G89" s="81">
        <v>169342.57</v>
      </c>
      <c r="H89" s="81">
        <v>-133780.27</v>
      </c>
      <c r="I89" s="81">
        <v>0</v>
      </c>
    </row>
    <row r="90" spans="1:9" ht="12.75">
      <c r="A90" t="s">
        <v>209</v>
      </c>
      <c r="B90" s="235" t="s">
        <v>539</v>
      </c>
      <c r="C90" s="81">
        <v>23695.39</v>
      </c>
      <c r="D90" s="81">
        <v>0</v>
      </c>
      <c r="E90" s="81">
        <v>23695.39</v>
      </c>
      <c r="F90" s="81">
        <v>23695.39</v>
      </c>
      <c r="G90" s="81">
        <v>0</v>
      </c>
      <c r="H90" s="81">
        <v>23695.39</v>
      </c>
      <c r="I90" s="81">
        <v>0</v>
      </c>
    </row>
    <row r="91" spans="1:9" ht="12.75">
      <c r="A91" t="s">
        <v>210</v>
      </c>
      <c r="B91" s="235" t="s">
        <v>540</v>
      </c>
      <c r="C91" s="81">
        <v>651642.54</v>
      </c>
      <c r="D91" s="81">
        <v>0</v>
      </c>
      <c r="E91" s="81">
        <v>651642.54</v>
      </c>
      <c r="F91" s="81">
        <v>651642.54</v>
      </c>
      <c r="G91" s="81">
        <v>0</v>
      </c>
      <c r="H91" s="81">
        <v>651642.54</v>
      </c>
      <c r="I91" s="81">
        <v>0</v>
      </c>
    </row>
    <row r="92" spans="1:9" ht="12.75">
      <c r="A92" t="s">
        <v>211</v>
      </c>
      <c r="B92" s="235" t="s">
        <v>541</v>
      </c>
      <c r="C92" s="81">
        <v>0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</row>
    <row r="93" spans="1:9" ht="12.75">
      <c r="A93" t="s">
        <v>212</v>
      </c>
      <c r="B93" s="236" t="s">
        <v>536</v>
      </c>
      <c r="C93" s="237">
        <v>710900.23</v>
      </c>
      <c r="D93" s="237">
        <v>1165618.97</v>
      </c>
      <c r="E93" s="237">
        <v>-454718.74</v>
      </c>
      <c r="F93" s="237">
        <v>710900.23</v>
      </c>
      <c r="G93" s="237">
        <v>1165618.97</v>
      </c>
      <c r="H93" s="237">
        <v>-454718.74</v>
      </c>
      <c r="I93" s="237">
        <v>0</v>
      </c>
    </row>
    <row r="95" spans="1:9" ht="12.75">
      <c r="A95" t="s">
        <v>213</v>
      </c>
      <c r="B95" s="235" t="s">
        <v>214</v>
      </c>
      <c r="C95" s="81">
        <v>0</v>
      </c>
      <c r="D95" s="81">
        <v>0</v>
      </c>
      <c r="E95" s="81">
        <v>0</v>
      </c>
      <c r="F95" s="81">
        <v>0</v>
      </c>
      <c r="G95" s="81">
        <v>0</v>
      </c>
      <c r="H95" s="81">
        <v>0</v>
      </c>
      <c r="I95" s="81">
        <v>0</v>
      </c>
    </row>
    <row r="96" spans="1:9" ht="12.75">
      <c r="A96" t="s">
        <v>215</v>
      </c>
      <c r="B96" s="235" t="s">
        <v>216</v>
      </c>
      <c r="C96" s="81">
        <v>39071673.43</v>
      </c>
      <c r="D96" s="81">
        <v>0</v>
      </c>
      <c r="E96" s="81">
        <v>39071673.43</v>
      </c>
      <c r="F96" s="81">
        <v>39071673.43</v>
      </c>
      <c r="G96" s="81">
        <v>0</v>
      </c>
      <c r="H96" s="81">
        <v>39071673.43</v>
      </c>
      <c r="I96" s="81">
        <v>0</v>
      </c>
    </row>
    <row r="97" spans="1:9" ht="12.75">
      <c r="A97" t="s">
        <v>217</v>
      </c>
      <c r="B97" s="235" t="s">
        <v>218</v>
      </c>
      <c r="C97" s="81">
        <v>6044.12</v>
      </c>
      <c r="D97" s="81">
        <v>2396.15</v>
      </c>
      <c r="E97" s="81">
        <v>3647.97</v>
      </c>
      <c r="F97" s="81">
        <v>6044.12</v>
      </c>
      <c r="G97" s="81">
        <v>2396.15</v>
      </c>
      <c r="H97" s="81">
        <v>3647.97</v>
      </c>
      <c r="I97" s="81">
        <v>0</v>
      </c>
    </row>
    <row r="98" spans="1:9" ht="12.75">
      <c r="A98" t="s">
        <v>219</v>
      </c>
      <c r="B98" s="235" t="s">
        <v>220</v>
      </c>
      <c r="C98" s="81">
        <v>0</v>
      </c>
      <c r="D98" s="81">
        <v>17565686.39</v>
      </c>
      <c r="E98" s="81">
        <v>-17565686.39</v>
      </c>
      <c r="F98" s="81">
        <v>0</v>
      </c>
      <c r="G98" s="81">
        <v>17565686.39</v>
      </c>
      <c r="H98" s="81">
        <v>-17565686.39</v>
      </c>
      <c r="I98" s="81">
        <v>0</v>
      </c>
    </row>
    <row r="99" spans="1:9" ht="12.75">
      <c r="A99" t="s">
        <v>221</v>
      </c>
      <c r="B99" s="235" t="s">
        <v>222</v>
      </c>
      <c r="C99" s="81">
        <v>0</v>
      </c>
      <c r="D99" s="81">
        <v>0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</row>
    <row r="100" spans="1:9" ht="12.75">
      <c r="A100" t="s">
        <v>225</v>
      </c>
      <c r="B100" s="235" t="s">
        <v>226</v>
      </c>
      <c r="C100" s="81">
        <v>0</v>
      </c>
      <c r="D100" s="81">
        <v>22242727.93</v>
      </c>
      <c r="E100" s="81">
        <v>-22242727.93</v>
      </c>
      <c r="F100" s="81">
        <v>0</v>
      </c>
      <c r="G100" s="81">
        <v>22242727.93</v>
      </c>
      <c r="H100" s="81">
        <v>-22242727.93</v>
      </c>
      <c r="I100" s="81">
        <v>0</v>
      </c>
    </row>
    <row r="101" spans="1:9" ht="12.75">
      <c r="A101" t="s">
        <v>227</v>
      </c>
      <c r="B101" s="236" t="s">
        <v>214</v>
      </c>
      <c r="C101" s="237">
        <v>39077717.55</v>
      </c>
      <c r="D101" s="237">
        <v>39810810.47</v>
      </c>
      <c r="E101" s="237">
        <v>-733092.92</v>
      </c>
      <c r="F101" s="237">
        <v>39077717.55</v>
      </c>
      <c r="G101" s="237">
        <v>39810810.47</v>
      </c>
      <c r="H101" s="237">
        <v>-733092.92</v>
      </c>
      <c r="I101" s="237">
        <v>0</v>
      </c>
    </row>
    <row r="103" spans="1:9" ht="12.75">
      <c r="A103" t="s">
        <v>228</v>
      </c>
      <c r="B103" s="235" t="s">
        <v>542</v>
      </c>
      <c r="C103" s="81">
        <v>0</v>
      </c>
      <c r="D103" s="81">
        <v>0</v>
      </c>
      <c r="E103" s="81">
        <v>0</v>
      </c>
      <c r="F103" s="81">
        <v>0</v>
      </c>
      <c r="G103" s="81">
        <v>0</v>
      </c>
      <c r="H103" s="81">
        <v>0</v>
      </c>
      <c r="I103" s="81">
        <v>0</v>
      </c>
    </row>
    <row r="104" spans="1:9" ht="12.75">
      <c r="A104" t="s">
        <v>229</v>
      </c>
      <c r="B104" s="235" t="s">
        <v>543</v>
      </c>
      <c r="C104" s="81">
        <v>80514098.59</v>
      </c>
      <c r="D104" s="81">
        <v>0</v>
      </c>
      <c r="E104" s="81">
        <v>80514098.59</v>
      </c>
      <c r="F104" s="81">
        <v>80514098.59</v>
      </c>
      <c r="G104" s="81">
        <v>0</v>
      </c>
      <c r="H104" s="81">
        <v>80514098.59</v>
      </c>
      <c r="I104" s="81">
        <v>0</v>
      </c>
    </row>
    <row r="105" spans="1:9" ht="12.75">
      <c r="A105" t="s">
        <v>230</v>
      </c>
      <c r="B105" s="235" t="s">
        <v>544</v>
      </c>
      <c r="C105" s="81">
        <v>37198.75</v>
      </c>
      <c r="D105" s="81">
        <v>181604.03</v>
      </c>
      <c r="E105" s="81">
        <v>-144405.28</v>
      </c>
      <c r="F105" s="81">
        <v>37198.75</v>
      </c>
      <c r="G105" s="81">
        <v>181604.03</v>
      </c>
      <c r="H105" s="81">
        <v>-144405.28</v>
      </c>
      <c r="I105" s="81">
        <v>0</v>
      </c>
    </row>
    <row r="106" spans="1:9" ht="12.75">
      <c r="A106" t="s">
        <v>231</v>
      </c>
      <c r="B106" s="235" t="s">
        <v>545</v>
      </c>
      <c r="C106" s="81">
        <v>0</v>
      </c>
      <c r="D106" s="81">
        <v>61106157.24</v>
      </c>
      <c r="E106" s="81">
        <v>-61106157.24</v>
      </c>
      <c r="F106" s="81">
        <v>0</v>
      </c>
      <c r="G106" s="81">
        <v>61106157.24</v>
      </c>
      <c r="H106" s="81">
        <v>-61106157.24</v>
      </c>
      <c r="I106" s="81">
        <v>0</v>
      </c>
    </row>
    <row r="107" spans="1:9" ht="12.75">
      <c r="A107" t="s">
        <v>232</v>
      </c>
      <c r="B107" s="235" t="s">
        <v>546</v>
      </c>
      <c r="C107" s="81">
        <v>0</v>
      </c>
      <c r="D107" s="81">
        <v>0</v>
      </c>
      <c r="E107" s="81">
        <v>0</v>
      </c>
      <c r="F107" s="81">
        <v>0</v>
      </c>
      <c r="G107" s="81">
        <v>0</v>
      </c>
      <c r="H107" s="81">
        <v>0</v>
      </c>
      <c r="I107" s="81">
        <v>0</v>
      </c>
    </row>
    <row r="108" spans="1:9" ht="12.75">
      <c r="A108" t="s">
        <v>233</v>
      </c>
      <c r="B108" s="235" t="s">
        <v>547</v>
      </c>
      <c r="C108" s="81">
        <v>0</v>
      </c>
      <c r="D108" s="81">
        <v>20452438.67</v>
      </c>
      <c r="E108" s="81">
        <v>-20452438.67</v>
      </c>
      <c r="F108" s="81">
        <v>0</v>
      </c>
      <c r="G108" s="81">
        <v>20452438.67</v>
      </c>
      <c r="H108" s="81">
        <v>-20452438.67</v>
      </c>
      <c r="I108" s="81">
        <v>0</v>
      </c>
    </row>
    <row r="109" spans="1:9" ht="12.75">
      <c r="A109" t="s">
        <v>234</v>
      </c>
      <c r="B109" s="236" t="s">
        <v>542</v>
      </c>
      <c r="C109" s="237">
        <v>80551297.34</v>
      </c>
      <c r="D109" s="237">
        <v>81740199.94</v>
      </c>
      <c r="E109" s="237">
        <v>-1188902.6</v>
      </c>
      <c r="F109" s="237">
        <v>80551297.34</v>
      </c>
      <c r="G109" s="237">
        <v>81740199.94</v>
      </c>
      <c r="H109" s="237">
        <v>-1188902.6</v>
      </c>
      <c r="I109" s="237">
        <v>0</v>
      </c>
    </row>
    <row r="111" spans="1:9" ht="12.75">
      <c r="A111" t="s">
        <v>235</v>
      </c>
      <c r="B111" s="235" t="s">
        <v>236</v>
      </c>
      <c r="C111" s="81">
        <v>0</v>
      </c>
      <c r="D111" s="81">
        <v>0</v>
      </c>
      <c r="E111" s="81">
        <v>0</v>
      </c>
      <c r="F111" s="81">
        <v>0</v>
      </c>
      <c r="G111" s="81">
        <v>0</v>
      </c>
      <c r="H111" s="81">
        <v>0</v>
      </c>
      <c r="I111" s="81">
        <v>0</v>
      </c>
    </row>
    <row r="112" spans="1:9" ht="12.75">
      <c r="A112" t="s">
        <v>237</v>
      </c>
      <c r="B112" s="235" t="s">
        <v>238</v>
      </c>
      <c r="C112" s="81">
        <v>144994.45</v>
      </c>
      <c r="D112" s="81">
        <v>0</v>
      </c>
      <c r="E112" s="81">
        <v>144994.45</v>
      </c>
      <c r="F112" s="81">
        <v>144994.45</v>
      </c>
      <c r="G112" s="81">
        <v>0</v>
      </c>
      <c r="H112" s="81">
        <v>144994.45</v>
      </c>
      <c r="I112" s="81">
        <v>0</v>
      </c>
    </row>
    <row r="113" spans="1:9" ht="12.75">
      <c r="A113" t="s">
        <v>239</v>
      </c>
      <c r="B113" s="235" t="s">
        <v>240</v>
      </c>
      <c r="C113" s="81">
        <v>2396.15</v>
      </c>
      <c r="D113" s="81">
        <v>6044.12</v>
      </c>
      <c r="E113" s="81">
        <v>-3647.97</v>
      </c>
      <c r="F113" s="81">
        <v>2396.15</v>
      </c>
      <c r="G113" s="81">
        <v>6044.12</v>
      </c>
      <c r="H113" s="81">
        <v>-3647.97</v>
      </c>
      <c r="I113" s="81">
        <v>0</v>
      </c>
    </row>
    <row r="114" spans="1:9" ht="12.75">
      <c r="A114" t="s">
        <v>241</v>
      </c>
      <c r="B114" s="235" t="s">
        <v>242</v>
      </c>
      <c r="C114" s="81">
        <v>0</v>
      </c>
      <c r="D114" s="81">
        <v>576.18</v>
      </c>
      <c r="E114" s="81">
        <v>-576.18</v>
      </c>
      <c r="F114" s="81">
        <v>0</v>
      </c>
      <c r="G114" s="81">
        <v>576.18</v>
      </c>
      <c r="H114" s="81">
        <v>-576.18</v>
      </c>
      <c r="I114" s="81">
        <v>0</v>
      </c>
    </row>
    <row r="115" spans="1:9" ht="12.75">
      <c r="A115" t="s">
        <v>243</v>
      </c>
      <c r="B115" s="235" t="s">
        <v>244</v>
      </c>
      <c r="C115" s="81">
        <v>0</v>
      </c>
      <c r="D115" s="81">
        <v>0</v>
      </c>
      <c r="E115" s="81">
        <v>0</v>
      </c>
      <c r="F115" s="81">
        <v>0</v>
      </c>
      <c r="G115" s="81">
        <v>0</v>
      </c>
      <c r="H115" s="81">
        <v>0</v>
      </c>
      <c r="I115" s="81">
        <v>0</v>
      </c>
    </row>
    <row r="116" spans="1:9" ht="12.75">
      <c r="A116" t="s">
        <v>245</v>
      </c>
      <c r="B116" s="235" t="s">
        <v>253</v>
      </c>
      <c r="C116" s="81">
        <v>0</v>
      </c>
      <c r="D116" s="81">
        <v>171874.1</v>
      </c>
      <c r="E116" s="81">
        <v>-171874.1</v>
      </c>
      <c r="F116" s="81">
        <v>0</v>
      </c>
      <c r="G116" s="81">
        <v>171874.1</v>
      </c>
      <c r="H116" s="81">
        <v>-171874.1</v>
      </c>
      <c r="I116" s="81">
        <v>0</v>
      </c>
    </row>
    <row r="117" spans="1:9" ht="12.75">
      <c r="A117" t="s">
        <v>254</v>
      </c>
      <c r="B117" s="236" t="s">
        <v>236</v>
      </c>
      <c r="C117" s="237">
        <v>147390.6</v>
      </c>
      <c r="D117" s="237">
        <v>178494.4</v>
      </c>
      <c r="E117" s="237">
        <v>-31103.8</v>
      </c>
      <c r="F117" s="237">
        <v>147390.6</v>
      </c>
      <c r="G117" s="237">
        <v>178494.4</v>
      </c>
      <c r="H117" s="237">
        <v>-31103.8</v>
      </c>
      <c r="I117" s="237">
        <v>0</v>
      </c>
    </row>
    <row r="119" spans="1:9" ht="12.75">
      <c r="A119" t="s">
        <v>255</v>
      </c>
      <c r="B119" s="235" t="s">
        <v>548</v>
      </c>
      <c r="C119" s="81">
        <v>0</v>
      </c>
      <c r="D119" s="81">
        <v>0</v>
      </c>
      <c r="E119" s="81">
        <v>0</v>
      </c>
      <c r="F119" s="81">
        <v>0</v>
      </c>
      <c r="G119" s="81">
        <v>0</v>
      </c>
      <c r="H119" s="81">
        <v>0</v>
      </c>
      <c r="I119" s="81">
        <v>0</v>
      </c>
    </row>
    <row r="120" spans="1:9" ht="12.75">
      <c r="A120" t="s">
        <v>256</v>
      </c>
      <c r="B120" s="235" t="s">
        <v>549</v>
      </c>
      <c r="C120" s="81">
        <v>1067611.73</v>
      </c>
      <c r="D120" s="81">
        <v>0</v>
      </c>
      <c r="E120" s="81">
        <v>1067611.73</v>
      </c>
      <c r="F120" s="81">
        <v>1067611.73</v>
      </c>
      <c r="G120" s="81">
        <v>0</v>
      </c>
      <c r="H120" s="81">
        <v>1067611.73</v>
      </c>
      <c r="I120" s="81">
        <v>0</v>
      </c>
    </row>
    <row r="121" spans="1:9" ht="12.75">
      <c r="A121" t="s">
        <v>257</v>
      </c>
      <c r="B121" s="235" t="s">
        <v>550</v>
      </c>
      <c r="C121" s="81">
        <v>181604.03</v>
      </c>
      <c r="D121" s="81">
        <v>37198.75</v>
      </c>
      <c r="E121" s="81">
        <v>144405.28</v>
      </c>
      <c r="F121" s="81">
        <v>181604.03</v>
      </c>
      <c r="G121" s="81">
        <v>37198.75</v>
      </c>
      <c r="H121" s="81">
        <v>144405.28</v>
      </c>
      <c r="I121" s="81">
        <v>0</v>
      </c>
    </row>
    <row r="122" spans="1:9" ht="12.75">
      <c r="A122" t="s">
        <v>258</v>
      </c>
      <c r="B122" s="235" t="s">
        <v>551</v>
      </c>
      <c r="C122" s="81">
        <v>0</v>
      </c>
      <c r="D122" s="81">
        <v>26788.01</v>
      </c>
      <c r="E122" s="81">
        <v>-26788.01</v>
      </c>
      <c r="F122" s="81">
        <v>0</v>
      </c>
      <c r="G122" s="81">
        <v>26788.01</v>
      </c>
      <c r="H122" s="81">
        <v>-26788.01</v>
      </c>
      <c r="I122" s="81">
        <v>0</v>
      </c>
    </row>
    <row r="123" spans="1:9" ht="12.75">
      <c r="A123" t="s">
        <v>259</v>
      </c>
      <c r="B123" s="235" t="s">
        <v>552</v>
      </c>
      <c r="C123" s="81">
        <v>0</v>
      </c>
      <c r="D123" s="81">
        <v>0</v>
      </c>
      <c r="E123" s="81">
        <v>0</v>
      </c>
      <c r="F123" s="81">
        <v>0</v>
      </c>
      <c r="G123" s="81">
        <v>0</v>
      </c>
      <c r="H123" s="81">
        <v>0</v>
      </c>
      <c r="I123" s="81">
        <v>0</v>
      </c>
    </row>
    <row r="124" spans="1:9" ht="12.75">
      <c r="A124" t="s">
        <v>260</v>
      </c>
      <c r="B124" s="235" t="s">
        <v>553</v>
      </c>
      <c r="C124" s="81">
        <v>0</v>
      </c>
      <c r="D124" s="81">
        <v>701480.87</v>
      </c>
      <c r="E124" s="81">
        <v>-701480.87</v>
      </c>
      <c r="F124" s="81">
        <v>0</v>
      </c>
      <c r="G124" s="81">
        <v>701480.87</v>
      </c>
      <c r="H124" s="81">
        <v>-701480.87</v>
      </c>
      <c r="I124" s="81">
        <v>0</v>
      </c>
    </row>
    <row r="125" spans="1:9" ht="12.75">
      <c r="A125" t="s">
        <v>261</v>
      </c>
      <c r="B125" s="236" t="s">
        <v>548</v>
      </c>
      <c r="C125" s="237">
        <v>1249215.76</v>
      </c>
      <c r="D125" s="237">
        <v>765467.63</v>
      </c>
      <c r="E125" s="237">
        <v>483748.13</v>
      </c>
      <c r="F125" s="237">
        <v>1249215.76</v>
      </c>
      <c r="G125" s="237">
        <v>765467.63</v>
      </c>
      <c r="H125" s="237">
        <v>483748.13</v>
      </c>
      <c r="I125" s="237">
        <v>0</v>
      </c>
    </row>
    <row r="127" spans="1:9" ht="12.75">
      <c r="A127" t="s">
        <v>262</v>
      </c>
      <c r="B127" s="235" t="s">
        <v>263</v>
      </c>
      <c r="C127" s="81">
        <v>0</v>
      </c>
      <c r="D127" s="81">
        <v>0</v>
      </c>
      <c r="E127" s="81">
        <v>0</v>
      </c>
      <c r="F127" s="81">
        <v>0</v>
      </c>
      <c r="G127" s="81">
        <v>0</v>
      </c>
      <c r="H127" s="81">
        <v>0</v>
      </c>
      <c r="I127" s="81">
        <v>0</v>
      </c>
    </row>
    <row r="128" spans="1:9" ht="12.75">
      <c r="A128" t="s">
        <v>264</v>
      </c>
      <c r="B128" s="235" t="s">
        <v>265</v>
      </c>
      <c r="C128" s="81">
        <v>0</v>
      </c>
      <c r="D128" s="81">
        <v>43943.59</v>
      </c>
      <c r="E128" s="81">
        <v>-43943.59</v>
      </c>
      <c r="F128" s="81">
        <v>0</v>
      </c>
      <c r="G128" s="81">
        <v>43943.59</v>
      </c>
      <c r="H128" s="81">
        <v>-43943.59</v>
      </c>
      <c r="I128" s="81">
        <v>0</v>
      </c>
    </row>
    <row r="129" spans="1:9" ht="12.75">
      <c r="A129" t="s">
        <v>266</v>
      </c>
      <c r="B129" s="235" t="s">
        <v>273</v>
      </c>
      <c r="C129" s="81">
        <v>196.32</v>
      </c>
      <c r="D129" s="81">
        <v>0</v>
      </c>
      <c r="E129" s="81">
        <v>196.32</v>
      </c>
      <c r="F129" s="81">
        <v>196.32</v>
      </c>
      <c r="G129" s="81">
        <v>0</v>
      </c>
      <c r="H129" s="81">
        <v>196.32</v>
      </c>
      <c r="I129" s="81">
        <v>0</v>
      </c>
    </row>
    <row r="130" spans="1:9" ht="12.75">
      <c r="A130" t="s">
        <v>274</v>
      </c>
      <c r="B130" s="235" t="s">
        <v>275</v>
      </c>
      <c r="C130" s="81">
        <v>3582.54</v>
      </c>
      <c r="D130" s="81">
        <v>121.61</v>
      </c>
      <c r="E130" s="81">
        <v>3460.93</v>
      </c>
      <c r="F130" s="81">
        <v>3582.54</v>
      </c>
      <c r="G130" s="81">
        <v>121.61</v>
      </c>
      <c r="H130" s="81">
        <v>3460.93</v>
      </c>
      <c r="I130" s="81">
        <v>0</v>
      </c>
    </row>
    <row r="131" spans="1:9" ht="12.75">
      <c r="A131" t="s">
        <v>276</v>
      </c>
      <c r="B131" s="235" t="s">
        <v>277</v>
      </c>
      <c r="C131" s="81">
        <v>0</v>
      </c>
      <c r="D131" s="81">
        <v>0</v>
      </c>
      <c r="E131" s="81">
        <v>0</v>
      </c>
      <c r="F131" s="81">
        <v>0</v>
      </c>
      <c r="G131" s="81">
        <v>0</v>
      </c>
      <c r="H131" s="81">
        <v>0</v>
      </c>
      <c r="I131" s="81">
        <v>0</v>
      </c>
    </row>
    <row r="132" spans="1:9" ht="12.75">
      <c r="A132" t="s">
        <v>278</v>
      </c>
      <c r="B132" s="235" t="s">
        <v>279</v>
      </c>
      <c r="C132" s="81">
        <v>60437.43</v>
      </c>
      <c r="D132" s="81">
        <v>0</v>
      </c>
      <c r="E132" s="81">
        <v>60437.43</v>
      </c>
      <c r="F132" s="81">
        <v>60437.43</v>
      </c>
      <c r="G132" s="81">
        <v>0</v>
      </c>
      <c r="H132" s="81">
        <v>60437.43</v>
      </c>
      <c r="I132" s="81">
        <v>0</v>
      </c>
    </row>
    <row r="133" spans="1:9" ht="12.75">
      <c r="A133" t="s">
        <v>280</v>
      </c>
      <c r="B133" s="236" t="s">
        <v>263</v>
      </c>
      <c r="C133" s="237">
        <v>64216.29</v>
      </c>
      <c r="D133" s="237">
        <v>44065.2</v>
      </c>
      <c r="E133" s="237">
        <v>20151.09</v>
      </c>
      <c r="F133" s="237">
        <v>64216.29</v>
      </c>
      <c r="G133" s="237">
        <v>44065.2</v>
      </c>
      <c r="H133" s="237">
        <v>20151.09</v>
      </c>
      <c r="I133" s="237">
        <v>0</v>
      </c>
    </row>
    <row r="135" spans="1:9" ht="12.75">
      <c r="A135" t="s">
        <v>281</v>
      </c>
      <c r="B135" s="235" t="s">
        <v>554</v>
      </c>
      <c r="C135" s="81">
        <v>0</v>
      </c>
      <c r="D135" s="81">
        <v>0</v>
      </c>
      <c r="E135" s="81">
        <v>0</v>
      </c>
      <c r="F135" s="81">
        <v>0</v>
      </c>
      <c r="G135" s="81">
        <v>0</v>
      </c>
      <c r="H135" s="81">
        <v>0</v>
      </c>
      <c r="I135" s="81">
        <v>0</v>
      </c>
    </row>
    <row r="136" spans="1:9" ht="12.75">
      <c r="A136" t="s">
        <v>282</v>
      </c>
      <c r="B136" s="235" t="s">
        <v>555</v>
      </c>
      <c r="C136" s="81">
        <v>0</v>
      </c>
      <c r="D136" s="81">
        <v>71335.33</v>
      </c>
      <c r="E136" s="81">
        <v>-71335.33</v>
      </c>
      <c r="F136" s="81">
        <v>0</v>
      </c>
      <c r="G136" s="81">
        <v>71335.33</v>
      </c>
      <c r="H136" s="81">
        <v>-71335.33</v>
      </c>
      <c r="I136" s="81">
        <v>0</v>
      </c>
    </row>
    <row r="137" spans="1:9" ht="12.75">
      <c r="A137" t="s">
        <v>283</v>
      </c>
      <c r="B137" s="235" t="s">
        <v>556</v>
      </c>
      <c r="C137" s="81">
        <v>3092.62</v>
      </c>
      <c r="D137" s="81">
        <v>0</v>
      </c>
      <c r="E137" s="81">
        <v>3092.62</v>
      </c>
      <c r="F137" s="81">
        <v>3092.62</v>
      </c>
      <c r="G137" s="81">
        <v>0</v>
      </c>
      <c r="H137" s="81">
        <v>3092.62</v>
      </c>
      <c r="I137" s="81">
        <v>0</v>
      </c>
    </row>
    <row r="138" spans="1:9" ht="12.75">
      <c r="A138" t="s">
        <v>284</v>
      </c>
      <c r="B138" s="235" t="s">
        <v>558</v>
      </c>
      <c r="C138" s="81">
        <v>1636.45</v>
      </c>
      <c r="D138" s="81">
        <v>12261.46</v>
      </c>
      <c r="E138" s="81">
        <v>-10625.01</v>
      </c>
      <c r="F138" s="81">
        <v>1636.45</v>
      </c>
      <c r="G138" s="81">
        <v>12261.46</v>
      </c>
      <c r="H138" s="81">
        <v>-10625.01</v>
      </c>
      <c r="I138" s="81">
        <v>0</v>
      </c>
    </row>
    <row r="139" spans="1:9" ht="12.75">
      <c r="A139" t="s">
        <v>285</v>
      </c>
      <c r="B139" s="235" t="s">
        <v>559</v>
      </c>
      <c r="C139" s="81">
        <v>0</v>
      </c>
      <c r="D139" s="81">
        <v>0</v>
      </c>
      <c r="E139" s="81">
        <v>0</v>
      </c>
      <c r="F139" s="81">
        <v>0</v>
      </c>
      <c r="G139" s="81">
        <v>0</v>
      </c>
      <c r="H139" s="81">
        <v>0</v>
      </c>
      <c r="I139" s="81">
        <v>0</v>
      </c>
    </row>
    <row r="140" spans="1:9" ht="12.75">
      <c r="A140" t="s">
        <v>286</v>
      </c>
      <c r="B140" s="235" t="s">
        <v>560</v>
      </c>
      <c r="C140" s="81">
        <v>49838.33</v>
      </c>
      <c r="D140" s="81">
        <v>0</v>
      </c>
      <c r="E140" s="81">
        <v>49838.33</v>
      </c>
      <c r="F140" s="81">
        <v>49838.33</v>
      </c>
      <c r="G140" s="81">
        <v>0</v>
      </c>
      <c r="H140" s="81">
        <v>49838.33</v>
      </c>
      <c r="I140" s="81">
        <v>0</v>
      </c>
    </row>
    <row r="141" spans="1:9" ht="12.75">
      <c r="A141" t="s">
        <v>287</v>
      </c>
      <c r="B141" s="235" t="s">
        <v>288</v>
      </c>
      <c r="C141" s="81">
        <v>0</v>
      </c>
      <c r="D141" s="81">
        <v>0</v>
      </c>
      <c r="E141" s="81">
        <v>0</v>
      </c>
      <c r="F141" s="81">
        <v>0</v>
      </c>
      <c r="G141" s="81">
        <v>0</v>
      </c>
      <c r="H141" s="81">
        <v>0</v>
      </c>
      <c r="I141" s="81">
        <v>0</v>
      </c>
    </row>
    <row r="142" spans="1:9" ht="12.75">
      <c r="A142" t="s">
        <v>289</v>
      </c>
      <c r="B142" s="235" t="s">
        <v>290</v>
      </c>
      <c r="C142" s="81">
        <v>0</v>
      </c>
      <c r="D142" s="81">
        <v>0</v>
      </c>
      <c r="E142" s="81">
        <v>0</v>
      </c>
      <c r="F142" s="81">
        <v>0</v>
      </c>
      <c r="G142" s="81">
        <v>0</v>
      </c>
      <c r="H142" s="81">
        <v>0</v>
      </c>
      <c r="I142" s="81">
        <v>0</v>
      </c>
    </row>
    <row r="143" spans="1:9" ht="12.75">
      <c r="A143" t="s">
        <v>291</v>
      </c>
      <c r="B143" s="235" t="s">
        <v>292</v>
      </c>
      <c r="C143" s="81">
        <v>0</v>
      </c>
      <c r="D143" s="81">
        <v>0</v>
      </c>
      <c r="E143" s="81">
        <v>0</v>
      </c>
      <c r="F143" s="81">
        <v>0</v>
      </c>
      <c r="G143" s="81">
        <v>0</v>
      </c>
      <c r="H143" s="81">
        <v>0</v>
      </c>
      <c r="I143" s="81">
        <v>0</v>
      </c>
    </row>
    <row r="144" spans="1:9" ht="12.75">
      <c r="A144" t="s">
        <v>293</v>
      </c>
      <c r="B144" s="235" t="s">
        <v>355</v>
      </c>
      <c r="C144" s="81">
        <v>0</v>
      </c>
      <c r="D144" s="81">
        <v>0</v>
      </c>
      <c r="E144" s="81">
        <v>0</v>
      </c>
      <c r="F144" s="81">
        <v>0</v>
      </c>
      <c r="G144" s="81">
        <v>0</v>
      </c>
      <c r="H144" s="81">
        <v>0</v>
      </c>
      <c r="I144" s="81">
        <v>0</v>
      </c>
    </row>
    <row r="145" spans="1:9" ht="12.75">
      <c r="A145" t="s">
        <v>356</v>
      </c>
      <c r="B145" s="236" t="s">
        <v>554</v>
      </c>
      <c r="C145" s="237">
        <v>54567.4</v>
      </c>
      <c r="D145" s="237">
        <v>83596.79</v>
      </c>
      <c r="E145" s="237">
        <v>-29029.39</v>
      </c>
      <c r="F145" s="237">
        <v>54567.4</v>
      </c>
      <c r="G145" s="237">
        <v>83596.79</v>
      </c>
      <c r="H145" s="237">
        <v>-29029.39</v>
      </c>
      <c r="I145" s="237">
        <v>0</v>
      </c>
    </row>
    <row r="147" spans="1:9" ht="12.75">
      <c r="A147" t="s">
        <v>561</v>
      </c>
      <c r="B147" s="235" t="s">
        <v>562</v>
      </c>
      <c r="C147" s="81">
        <v>0</v>
      </c>
      <c r="D147" s="81">
        <v>0</v>
      </c>
      <c r="E147" s="81">
        <v>0</v>
      </c>
      <c r="F147" s="81">
        <v>0</v>
      </c>
      <c r="G147" s="81">
        <v>0</v>
      </c>
      <c r="H147" s="81">
        <v>0</v>
      </c>
      <c r="I147" s="81">
        <v>0</v>
      </c>
    </row>
    <row r="148" spans="1:9" ht="12.75">
      <c r="A148" t="s">
        <v>563</v>
      </c>
      <c r="B148" s="235" t="s">
        <v>562</v>
      </c>
      <c r="C148" s="81">
        <v>4400857.75</v>
      </c>
      <c r="D148" s="81">
        <v>4208307.61</v>
      </c>
      <c r="E148" s="81">
        <v>192550.14</v>
      </c>
      <c r="F148" s="81">
        <v>4400857.75</v>
      </c>
      <c r="G148" s="81">
        <v>4208307.61</v>
      </c>
      <c r="H148" s="81">
        <v>192550.14</v>
      </c>
      <c r="I148" s="81">
        <v>0</v>
      </c>
    </row>
    <row r="149" spans="1:9" ht="12.75">
      <c r="A149" t="s">
        <v>564</v>
      </c>
      <c r="B149" s="236" t="s">
        <v>562</v>
      </c>
      <c r="C149" s="237">
        <v>4400857.75</v>
      </c>
      <c r="D149" s="237">
        <v>4208307.61</v>
      </c>
      <c r="E149" s="237">
        <v>192550.14</v>
      </c>
      <c r="F149" s="237">
        <v>4400857.75</v>
      </c>
      <c r="G149" s="237">
        <v>4208307.61</v>
      </c>
      <c r="H149" s="237">
        <v>192550.14</v>
      </c>
      <c r="I149" s="237">
        <v>0</v>
      </c>
    </row>
    <row r="151" spans="1:9" ht="12.75">
      <c r="A151" t="s">
        <v>1336</v>
      </c>
      <c r="B151" s="235" t="s">
        <v>1339</v>
      </c>
      <c r="C151" s="81">
        <v>3820269.3</v>
      </c>
      <c r="D151" s="81">
        <v>2568554.33</v>
      </c>
      <c r="E151" s="81">
        <v>1251714.97</v>
      </c>
      <c r="F151" s="81">
        <v>3820269.3</v>
      </c>
      <c r="G151" s="81">
        <v>2568554.33</v>
      </c>
      <c r="H151" s="81">
        <v>1251714.97</v>
      </c>
      <c r="I151" s="81">
        <v>0</v>
      </c>
    </row>
    <row r="152" spans="1:9" ht="12.75">
      <c r="A152" t="s">
        <v>1340</v>
      </c>
      <c r="B152" s="236" t="s">
        <v>488</v>
      </c>
      <c r="C152" s="237">
        <v>3820269.3</v>
      </c>
      <c r="D152" s="237">
        <v>2568554.33</v>
      </c>
      <c r="E152" s="237">
        <v>1251714.97</v>
      </c>
      <c r="F152" s="237">
        <v>3820269.3</v>
      </c>
      <c r="G152" s="237">
        <v>2568554.33</v>
      </c>
      <c r="H152" s="237">
        <v>1251714.97</v>
      </c>
      <c r="I152" s="237">
        <v>0</v>
      </c>
    </row>
    <row r="154" spans="1:9" ht="12.75">
      <c r="A154" t="s">
        <v>1341</v>
      </c>
      <c r="B154" s="235" t="s">
        <v>1342</v>
      </c>
      <c r="C154" s="81">
        <v>2074685.73</v>
      </c>
      <c r="D154" s="81">
        <v>1170874.24</v>
      </c>
      <c r="E154" s="81">
        <v>903811.49</v>
      </c>
      <c r="F154" s="81">
        <v>2074685.73</v>
      </c>
      <c r="G154" s="81">
        <v>1170874.24</v>
      </c>
      <c r="H154" s="81">
        <v>903811.49</v>
      </c>
      <c r="I154" s="81">
        <v>0</v>
      </c>
    </row>
    <row r="155" spans="1:9" ht="12.75">
      <c r="A155" t="s">
        <v>1343</v>
      </c>
      <c r="B155" s="236" t="s">
        <v>488</v>
      </c>
      <c r="C155" s="237">
        <v>2074685.73</v>
      </c>
      <c r="D155" s="237">
        <v>1170874.24</v>
      </c>
      <c r="E155" s="237">
        <v>903811.49</v>
      </c>
      <c r="F155" s="237">
        <v>2074685.73</v>
      </c>
      <c r="G155" s="237">
        <v>1170874.24</v>
      </c>
      <c r="H155" s="237">
        <v>903811.49</v>
      </c>
      <c r="I155" s="237">
        <v>0</v>
      </c>
    </row>
    <row r="157" spans="1:9" ht="12.75">
      <c r="A157" t="s">
        <v>357</v>
      </c>
      <c r="B157" s="235" t="s">
        <v>358</v>
      </c>
      <c r="C157" s="81">
        <v>0</v>
      </c>
      <c r="D157" s="81">
        <v>0</v>
      </c>
      <c r="E157" s="81">
        <v>0</v>
      </c>
      <c r="F157" s="81">
        <v>0</v>
      </c>
      <c r="G157" s="81">
        <v>0</v>
      </c>
      <c r="H157" s="81">
        <v>0</v>
      </c>
      <c r="I157" s="81">
        <v>0</v>
      </c>
    </row>
    <row r="158" spans="1:9" ht="12.75">
      <c r="A158" t="s">
        <v>359</v>
      </c>
      <c r="B158" s="235" t="s">
        <v>360</v>
      </c>
      <c r="C158" s="81">
        <v>0</v>
      </c>
      <c r="D158" s="81">
        <v>0</v>
      </c>
      <c r="E158" s="81">
        <v>0</v>
      </c>
      <c r="F158" s="81">
        <v>0</v>
      </c>
      <c r="G158" s="81">
        <v>0</v>
      </c>
      <c r="H158" s="81">
        <v>0</v>
      </c>
      <c r="I158" s="81">
        <v>0</v>
      </c>
    </row>
    <row r="159" spans="1:9" ht="12.75">
      <c r="A159" t="s">
        <v>361</v>
      </c>
      <c r="B159" s="236" t="s">
        <v>358</v>
      </c>
      <c r="C159" s="237">
        <v>0</v>
      </c>
      <c r="D159" s="237">
        <v>0</v>
      </c>
      <c r="E159" s="237">
        <v>0</v>
      </c>
      <c r="F159" s="237">
        <v>0</v>
      </c>
      <c r="G159" s="237">
        <v>0</v>
      </c>
      <c r="H159" s="237">
        <v>0</v>
      </c>
      <c r="I159" s="237">
        <v>0</v>
      </c>
    </row>
    <row r="161" spans="1:9" ht="12.75">
      <c r="A161" t="s">
        <v>362</v>
      </c>
      <c r="B161" s="235" t="s">
        <v>363</v>
      </c>
      <c r="C161" s="81">
        <v>0</v>
      </c>
      <c r="D161" s="81">
        <v>0</v>
      </c>
      <c r="E161" s="81">
        <v>0</v>
      </c>
      <c r="F161" s="81">
        <v>0</v>
      </c>
      <c r="G161" s="81">
        <v>0</v>
      </c>
      <c r="H161" s="81">
        <v>0</v>
      </c>
      <c r="I161" s="81">
        <v>0</v>
      </c>
    </row>
    <row r="162" spans="1:9" ht="12.75">
      <c r="A162" t="s">
        <v>364</v>
      </c>
      <c r="B162" s="235" t="s">
        <v>28</v>
      </c>
      <c r="C162" s="81">
        <v>666284.5</v>
      </c>
      <c r="D162" s="81">
        <v>666284.5</v>
      </c>
      <c r="E162" s="81">
        <v>0</v>
      </c>
      <c r="F162" s="81">
        <v>666284.5</v>
      </c>
      <c r="G162" s="81">
        <v>666284.5</v>
      </c>
      <c r="H162" s="81">
        <v>0</v>
      </c>
      <c r="I162" s="81">
        <v>0</v>
      </c>
    </row>
    <row r="163" spans="1:9" ht="12.75">
      <c r="A163" t="s">
        <v>365</v>
      </c>
      <c r="B163" s="235" t="s">
        <v>366</v>
      </c>
      <c r="C163" s="81">
        <v>3.75</v>
      </c>
      <c r="D163" s="81">
        <v>0</v>
      </c>
      <c r="E163" s="81">
        <v>3.75</v>
      </c>
      <c r="F163" s="81">
        <v>3.75</v>
      </c>
      <c r="G163" s="81">
        <v>0</v>
      </c>
      <c r="H163" s="81">
        <v>3.75</v>
      </c>
      <c r="I163" s="81">
        <v>0</v>
      </c>
    </row>
    <row r="164" spans="1:9" ht="12.75">
      <c r="A164" t="s">
        <v>367</v>
      </c>
      <c r="B164" s="235" t="s">
        <v>368</v>
      </c>
      <c r="C164" s="81">
        <v>0</v>
      </c>
      <c r="D164" s="81">
        <v>0</v>
      </c>
      <c r="E164" s="81">
        <v>0</v>
      </c>
      <c r="F164" s="81">
        <v>0</v>
      </c>
      <c r="G164" s="81">
        <v>0</v>
      </c>
      <c r="H164" s="81">
        <v>0</v>
      </c>
      <c r="I164" s="81">
        <v>0</v>
      </c>
    </row>
    <row r="165" spans="1:9" ht="12.75">
      <c r="A165" t="s">
        <v>369</v>
      </c>
      <c r="B165" s="236" t="s">
        <v>363</v>
      </c>
      <c r="C165" s="237">
        <v>666288.25</v>
      </c>
      <c r="D165" s="237">
        <v>666284.5</v>
      </c>
      <c r="E165" s="237">
        <v>3.75</v>
      </c>
      <c r="F165" s="237">
        <v>666288.25</v>
      </c>
      <c r="G165" s="237">
        <v>666284.5</v>
      </c>
      <c r="H165" s="237">
        <v>3.75</v>
      </c>
      <c r="I165" s="237">
        <v>0</v>
      </c>
    </row>
    <row r="167" spans="1:9" ht="12.75">
      <c r="A167" t="s">
        <v>485</v>
      </c>
      <c r="B167" s="235" t="s">
        <v>486</v>
      </c>
      <c r="C167" s="81">
        <v>0</v>
      </c>
      <c r="D167" s="81">
        <v>0</v>
      </c>
      <c r="E167" s="81">
        <v>0</v>
      </c>
      <c r="F167" s="81">
        <v>0</v>
      </c>
      <c r="G167" s="81">
        <v>0</v>
      </c>
      <c r="H167" s="81">
        <v>0</v>
      </c>
      <c r="I167" s="81">
        <v>0</v>
      </c>
    </row>
    <row r="168" spans="1:9" ht="12.75">
      <c r="A168" t="s">
        <v>487</v>
      </c>
      <c r="B168" s="236" t="s">
        <v>488</v>
      </c>
      <c r="C168" s="237">
        <v>0</v>
      </c>
      <c r="D168" s="237">
        <v>0</v>
      </c>
      <c r="E168" s="237">
        <v>0</v>
      </c>
      <c r="F168" s="237">
        <v>0</v>
      </c>
      <c r="G168" s="237">
        <v>0</v>
      </c>
      <c r="H168" s="237">
        <v>0</v>
      </c>
      <c r="I168" s="237">
        <v>0</v>
      </c>
    </row>
    <row r="170" spans="1:9" ht="12.75">
      <c r="A170" t="s">
        <v>565</v>
      </c>
      <c r="B170" s="235" t="s">
        <v>566</v>
      </c>
      <c r="C170" s="81">
        <v>0</v>
      </c>
      <c r="D170" s="81">
        <v>0</v>
      </c>
      <c r="E170" s="81">
        <v>0</v>
      </c>
      <c r="F170" s="81">
        <v>0</v>
      </c>
      <c r="G170" s="81">
        <v>0</v>
      </c>
      <c r="H170" s="81">
        <v>0</v>
      </c>
      <c r="I170" s="81">
        <v>0</v>
      </c>
    </row>
    <row r="171" spans="1:9" ht="12.75">
      <c r="A171" t="s">
        <v>567</v>
      </c>
      <c r="B171" s="235" t="s">
        <v>566</v>
      </c>
      <c r="C171" s="81">
        <v>0</v>
      </c>
      <c r="D171" s="81">
        <v>0</v>
      </c>
      <c r="E171" s="81">
        <v>0</v>
      </c>
      <c r="F171" s="81">
        <v>0</v>
      </c>
      <c r="G171" s="81">
        <v>0</v>
      </c>
      <c r="H171" s="81">
        <v>0</v>
      </c>
      <c r="I171" s="81">
        <v>0</v>
      </c>
    </row>
    <row r="172" spans="1:9" ht="12.75">
      <c r="A172" t="s">
        <v>568</v>
      </c>
      <c r="B172" s="236" t="s">
        <v>566</v>
      </c>
      <c r="C172" s="237">
        <v>0</v>
      </c>
      <c r="D172" s="237">
        <v>0</v>
      </c>
      <c r="E172" s="237">
        <v>0</v>
      </c>
      <c r="F172" s="237">
        <v>0</v>
      </c>
      <c r="G172" s="237">
        <v>0</v>
      </c>
      <c r="H172" s="237">
        <v>0</v>
      </c>
      <c r="I172" s="237">
        <v>0</v>
      </c>
    </row>
    <row r="174" spans="1:9" ht="12.75">
      <c r="A174" t="s">
        <v>569</v>
      </c>
      <c r="B174" s="235" t="s">
        <v>570</v>
      </c>
      <c r="C174" s="81">
        <v>0</v>
      </c>
      <c r="D174" s="81">
        <v>0</v>
      </c>
      <c r="E174" s="81">
        <v>0</v>
      </c>
      <c r="F174" s="81">
        <v>0</v>
      </c>
      <c r="G174" s="81">
        <v>0</v>
      </c>
      <c r="H174" s="81">
        <v>0</v>
      </c>
      <c r="I174" s="81">
        <v>0</v>
      </c>
    </row>
    <row r="175" spans="1:9" ht="12.75">
      <c r="A175" t="s">
        <v>571</v>
      </c>
      <c r="B175" s="235" t="s">
        <v>874</v>
      </c>
      <c r="C175" s="81">
        <v>0</v>
      </c>
      <c r="D175" s="81">
        <v>0</v>
      </c>
      <c r="E175" s="81">
        <v>0</v>
      </c>
      <c r="F175" s="81">
        <v>0</v>
      </c>
      <c r="G175" s="81">
        <v>0</v>
      </c>
      <c r="H175" s="81">
        <v>0</v>
      </c>
      <c r="I175" s="81">
        <v>0</v>
      </c>
    </row>
    <row r="176" spans="1:9" ht="12.75">
      <c r="A176" t="s">
        <v>370</v>
      </c>
      <c r="B176" s="235" t="s">
        <v>572</v>
      </c>
      <c r="C176" s="81">
        <v>2602562.79</v>
      </c>
      <c r="D176" s="81">
        <v>3547263.8</v>
      </c>
      <c r="E176" s="81">
        <v>-944701.01</v>
      </c>
      <c r="F176" s="81">
        <v>2602562.79</v>
      </c>
      <c r="G176" s="81">
        <v>3547263.8</v>
      </c>
      <c r="H176" s="81">
        <v>-944701.01</v>
      </c>
      <c r="I176" s="81">
        <v>0</v>
      </c>
    </row>
    <row r="177" spans="1:9" ht="12.75">
      <c r="A177" t="s">
        <v>371</v>
      </c>
      <c r="B177" s="236" t="s">
        <v>570</v>
      </c>
      <c r="C177" s="237">
        <v>2602562.79</v>
      </c>
      <c r="D177" s="237">
        <v>3547263.8</v>
      </c>
      <c r="E177" s="237">
        <v>-944701.01</v>
      </c>
      <c r="F177" s="237">
        <v>2602562.79</v>
      </c>
      <c r="G177" s="237">
        <v>3547263.8</v>
      </c>
      <c r="H177" s="237">
        <v>-944701.01</v>
      </c>
      <c r="I177" s="237">
        <v>0</v>
      </c>
    </row>
    <row r="179" spans="1:9" ht="12.75">
      <c r="A179" t="s">
        <v>1330</v>
      </c>
      <c r="B179" s="235" t="s">
        <v>1331</v>
      </c>
      <c r="C179" s="81">
        <v>0</v>
      </c>
      <c r="D179" s="81">
        <v>0</v>
      </c>
      <c r="E179" s="81">
        <v>0</v>
      </c>
      <c r="F179" s="81">
        <v>0</v>
      </c>
      <c r="G179" s="81">
        <v>0</v>
      </c>
      <c r="H179" s="81">
        <v>0</v>
      </c>
      <c r="I179" s="81">
        <v>0</v>
      </c>
    </row>
    <row r="180" spans="1:9" ht="12.75">
      <c r="A180" t="s">
        <v>1332</v>
      </c>
      <c r="B180" s="236" t="s">
        <v>488</v>
      </c>
      <c r="C180" s="237">
        <v>0</v>
      </c>
      <c r="D180" s="237">
        <v>0</v>
      </c>
      <c r="E180" s="237">
        <v>0</v>
      </c>
      <c r="F180" s="237">
        <v>0</v>
      </c>
      <c r="G180" s="237">
        <v>0</v>
      </c>
      <c r="H180" s="237">
        <v>0</v>
      </c>
      <c r="I180" s="237">
        <v>0</v>
      </c>
    </row>
    <row r="182" spans="1:9" ht="12.75">
      <c r="A182" t="s">
        <v>813</v>
      </c>
      <c r="B182" s="235" t="s">
        <v>573</v>
      </c>
      <c r="C182" s="81">
        <v>0</v>
      </c>
      <c r="D182" s="81">
        <v>0</v>
      </c>
      <c r="E182" s="81">
        <v>0</v>
      </c>
      <c r="F182" s="81">
        <v>0</v>
      </c>
      <c r="G182" s="81">
        <v>0</v>
      </c>
      <c r="H182" s="81">
        <v>0</v>
      </c>
      <c r="I182" s="81">
        <v>0</v>
      </c>
    </row>
    <row r="183" spans="1:9" ht="12.75">
      <c r="A183" t="s">
        <v>814</v>
      </c>
      <c r="B183" s="235" t="s">
        <v>574</v>
      </c>
      <c r="C183" s="81">
        <v>1465122.78</v>
      </c>
      <c r="D183" s="81">
        <v>0</v>
      </c>
      <c r="E183" s="81">
        <v>1465122.78</v>
      </c>
      <c r="F183" s="81">
        <v>1465122.78</v>
      </c>
      <c r="G183" s="81">
        <v>0</v>
      </c>
      <c r="H183" s="81">
        <v>1465122.78</v>
      </c>
      <c r="I183" s="81">
        <v>0</v>
      </c>
    </row>
    <row r="184" spans="1:9" ht="12.75">
      <c r="A184" t="s">
        <v>815</v>
      </c>
      <c r="B184" s="235" t="s">
        <v>575</v>
      </c>
      <c r="C184" s="81">
        <v>0</v>
      </c>
      <c r="D184" s="81">
        <v>3523304.68</v>
      </c>
      <c r="E184" s="81">
        <v>-3523304.68</v>
      </c>
      <c r="F184" s="81">
        <v>0</v>
      </c>
      <c r="G184" s="81">
        <v>3523304.68</v>
      </c>
      <c r="H184" s="81">
        <v>-3523304.68</v>
      </c>
      <c r="I184" s="81">
        <v>0</v>
      </c>
    </row>
    <row r="185" spans="1:9" ht="12.75">
      <c r="A185" t="s">
        <v>816</v>
      </c>
      <c r="B185" s="235" t="s">
        <v>817</v>
      </c>
      <c r="C185" s="81">
        <v>1541862.98</v>
      </c>
      <c r="D185" s="81">
        <v>0</v>
      </c>
      <c r="E185" s="81">
        <v>1541862.98</v>
      </c>
      <c r="F185" s="81">
        <v>1541862.98</v>
      </c>
      <c r="G185" s="81">
        <v>0</v>
      </c>
      <c r="H185" s="81">
        <v>1541862.98</v>
      </c>
      <c r="I185" s="81">
        <v>0</v>
      </c>
    </row>
    <row r="186" spans="1:9" ht="12.75">
      <c r="A186" t="s">
        <v>818</v>
      </c>
      <c r="B186" s="236" t="s">
        <v>573</v>
      </c>
      <c r="C186" s="237">
        <v>3006985.76</v>
      </c>
      <c r="D186" s="237">
        <v>3523304.68</v>
      </c>
      <c r="E186" s="237">
        <v>-516318.92</v>
      </c>
      <c r="F186" s="237">
        <v>3006985.76</v>
      </c>
      <c r="G186" s="237">
        <v>3523304.68</v>
      </c>
      <c r="H186" s="237">
        <v>-516318.92</v>
      </c>
      <c r="I186" s="237">
        <v>0</v>
      </c>
    </row>
    <row r="188" spans="1:9" ht="12.75">
      <c r="A188" t="s">
        <v>819</v>
      </c>
      <c r="B188" s="235" t="s">
        <v>820</v>
      </c>
      <c r="C188" s="81">
        <v>0</v>
      </c>
      <c r="D188" s="81">
        <v>0</v>
      </c>
      <c r="E188" s="81">
        <v>0</v>
      </c>
      <c r="F188" s="81">
        <v>0</v>
      </c>
      <c r="G188" s="81">
        <v>0</v>
      </c>
      <c r="H188" s="81">
        <v>0</v>
      </c>
      <c r="I188" s="81">
        <v>0</v>
      </c>
    </row>
    <row r="189" spans="1:9" ht="12.75">
      <c r="A189" t="s">
        <v>821</v>
      </c>
      <c r="B189" s="235" t="s">
        <v>822</v>
      </c>
      <c r="C189" s="81">
        <v>90115.27</v>
      </c>
      <c r="D189" s="81">
        <v>138654.19</v>
      </c>
      <c r="E189" s="81">
        <v>-48538.92</v>
      </c>
      <c r="F189" s="81">
        <v>90115.27</v>
      </c>
      <c r="G189" s="81">
        <v>138654.19</v>
      </c>
      <c r="H189" s="81">
        <v>-48538.92</v>
      </c>
      <c r="I189" s="81">
        <v>0</v>
      </c>
    </row>
    <row r="190" spans="1:9" ht="12.75">
      <c r="A190" t="s">
        <v>823</v>
      </c>
      <c r="B190" s="236" t="s">
        <v>820</v>
      </c>
      <c r="C190" s="237">
        <v>90115.27</v>
      </c>
      <c r="D190" s="237">
        <v>138654.19</v>
      </c>
      <c r="E190" s="237">
        <v>-48538.92</v>
      </c>
      <c r="F190" s="237">
        <v>90115.27</v>
      </c>
      <c r="G190" s="237">
        <v>138654.19</v>
      </c>
      <c r="H190" s="237">
        <v>-48538.92</v>
      </c>
      <c r="I190" s="237">
        <v>0</v>
      </c>
    </row>
    <row r="192" spans="1:9" ht="12.75">
      <c r="A192" t="s">
        <v>824</v>
      </c>
      <c r="B192" s="235" t="s">
        <v>576</v>
      </c>
      <c r="C192" s="81">
        <v>0</v>
      </c>
      <c r="D192" s="81">
        <v>0</v>
      </c>
      <c r="E192" s="81">
        <v>0</v>
      </c>
      <c r="F192" s="81">
        <v>0</v>
      </c>
      <c r="G192" s="81">
        <v>0</v>
      </c>
      <c r="H192" s="81">
        <v>0</v>
      </c>
      <c r="I192" s="81">
        <v>0</v>
      </c>
    </row>
    <row r="193" spans="1:9" ht="12.75">
      <c r="A193" t="s">
        <v>825</v>
      </c>
      <c r="B193" s="235" t="s">
        <v>577</v>
      </c>
      <c r="C193" s="81">
        <v>1620469.61</v>
      </c>
      <c r="D193" s="81">
        <v>246936.76</v>
      </c>
      <c r="E193" s="81">
        <v>1373532.85</v>
      </c>
      <c r="F193" s="81">
        <v>1620469.61</v>
      </c>
      <c r="G193" s="81">
        <v>246936.76</v>
      </c>
      <c r="H193" s="81">
        <v>1373532.85</v>
      </c>
      <c r="I193" s="81">
        <v>0</v>
      </c>
    </row>
    <row r="194" spans="1:9" ht="12.75">
      <c r="A194" t="s">
        <v>826</v>
      </c>
      <c r="B194" s="235" t="s">
        <v>578</v>
      </c>
      <c r="C194" s="81">
        <v>0</v>
      </c>
      <c r="D194" s="81">
        <v>5693475.81</v>
      </c>
      <c r="E194" s="81">
        <v>-5693475.81</v>
      </c>
      <c r="F194" s="81">
        <v>0</v>
      </c>
      <c r="G194" s="81">
        <v>5693475.81</v>
      </c>
      <c r="H194" s="81">
        <v>-5693475.81</v>
      </c>
      <c r="I194" s="81">
        <v>0</v>
      </c>
    </row>
    <row r="195" spans="1:9" ht="12.75">
      <c r="A195" t="s">
        <v>827</v>
      </c>
      <c r="B195" s="235" t="s">
        <v>579</v>
      </c>
      <c r="C195" s="81">
        <v>2049482.71</v>
      </c>
      <c r="D195" s="81">
        <v>0</v>
      </c>
      <c r="E195" s="81">
        <v>2049482.71</v>
      </c>
      <c r="F195" s="81">
        <v>2049482.71</v>
      </c>
      <c r="G195" s="81">
        <v>0</v>
      </c>
      <c r="H195" s="81">
        <v>2049482.71</v>
      </c>
      <c r="I195" s="81">
        <v>0</v>
      </c>
    </row>
    <row r="196" spans="1:9" ht="12.75">
      <c r="A196" t="s">
        <v>828</v>
      </c>
      <c r="B196" s="236" t="s">
        <v>576</v>
      </c>
      <c r="C196" s="237">
        <v>3669952.32</v>
      </c>
      <c r="D196" s="237">
        <v>5940412.57</v>
      </c>
      <c r="E196" s="237">
        <v>-2270460.25</v>
      </c>
      <c r="F196" s="237">
        <v>3669952.32</v>
      </c>
      <c r="G196" s="237">
        <v>5940412.57</v>
      </c>
      <c r="H196" s="237">
        <v>-2270460.25</v>
      </c>
      <c r="I196" s="237">
        <v>0</v>
      </c>
    </row>
    <row r="198" spans="1:9" ht="12.75">
      <c r="A198" t="s">
        <v>829</v>
      </c>
      <c r="B198" s="235" t="s">
        <v>830</v>
      </c>
      <c r="C198" s="81">
        <v>0</v>
      </c>
      <c r="D198" s="81">
        <v>0</v>
      </c>
      <c r="E198" s="81">
        <v>0</v>
      </c>
      <c r="F198" s="81">
        <v>0</v>
      </c>
      <c r="G198" s="81">
        <v>0</v>
      </c>
      <c r="H198" s="81">
        <v>0</v>
      </c>
      <c r="I198" s="81">
        <v>0</v>
      </c>
    </row>
    <row r="199" spans="1:9" ht="12.75">
      <c r="A199" t="s">
        <v>831</v>
      </c>
      <c r="B199" s="235" t="s">
        <v>507</v>
      </c>
      <c r="C199" s="81">
        <v>0</v>
      </c>
      <c r="D199" s="81">
        <v>0</v>
      </c>
      <c r="E199" s="81">
        <v>0</v>
      </c>
      <c r="F199" s="81">
        <v>0</v>
      </c>
      <c r="G199" s="81">
        <v>0</v>
      </c>
      <c r="H199" s="81">
        <v>0</v>
      </c>
      <c r="I199" s="81">
        <v>0</v>
      </c>
    </row>
    <row r="200" spans="1:9" ht="12.75">
      <c r="A200" t="s">
        <v>832</v>
      </c>
      <c r="B200" s="235" t="s">
        <v>508</v>
      </c>
      <c r="C200" s="81">
        <v>0</v>
      </c>
      <c r="D200" s="81">
        <v>0</v>
      </c>
      <c r="E200" s="81">
        <v>0</v>
      </c>
      <c r="F200" s="81">
        <v>0</v>
      </c>
      <c r="G200" s="81">
        <v>0</v>
      </c>
      <c r="H200" s="81">
        <v>0</v>
      </c>
      <c r="I200" s="81">
        <v>0</v>
      </c>
    </row>
    <row r="201" spans="1:9" ht="12.75">
      <c r="A201" t="s">
        <v>833</v>
      </c>
      <c r="B201" s="235" t="s">
        <v>509</v>
      </c>
      <c r="C201" s="81">
        <v>2999200</v>
      </c>
      <c r="D201" s="81">
        <v>2002535.31</v>
      </c>
      <c r="E201" s="81">
        <v>996664.69</v>
      </c>
      <c r="F201" s="81">
        <v>2999200</v>
      </c>
      <c r="G201" s="81">
        <v>2002535.31</v>
      </c>
      <c r="H201" s="81">
        <v>996664.69</v>
      </c>
      <c r="I201" s="81">
        <v>0</v>
      </c>
    </row>
    <row r="202" spans="1:9" ht="12.75">
      <c r="A202" t="s">
        <v>834</v>
      </c>
      <c r="B202" s="235" t="s">
        <v>510</v>
      </c>
      <c r="C202" s="81">
        <v>280455</v>
      </c>
      <c r="D202" s="81">
        <v>215710.83</v>
      </c>
      <c r="E202" s="81">
        <v>64744.17</v>
      </c>
      <c r="F202" s="81">
        <v>280455</v>
      </c>
      <c r="G202" s="81">
        <v>215710.83</v>
      </c>
      <c r="H202" s="81">
        <v>64744.17</v>
      </c>
      <c r="I202" s="81">
        <v>0</v>
      </c>
    </row>
    <row r="203" spans="1:9" ht="12.75">
      <c r="A203" t="s">
        <v>835</v>
      </c>
      <c r="B203" s="235" t="s">
        <v>510</v>
      </c>
      <c r="C203" s="81">
        <v>180040</v>
      </c>
      <c r="D203" s="81">
        <v>147667.91</v>
      </c>
      <c r="E203" s="81">
        <v>32372.09</v>
      </c>
      <c r="F203" s="81">
        <v>180040</v>
      </c>
      <c r="G203" s="81">
        <v>147667.91</v>
      </c>
      <c r="H203" s="81">
        <v>32372.09</v>
      </c>
      <c r="I203" s="81">
        <v>0</v>
      </c>
    </row>
    <row r="204" spans="1:9" ht="12.75">
      <c r="A204" t="s">
        <v>836</v>
      </c>
      <c r="B204" s="235" t="s">
        <v>580</v>
      </c>
      <c r="C204" s="81">
        <v>241972.5</v>
      </c>
      <c r="D204" s="81">
        <v>209598.48</v>
      </c>
      <c r="E204" s="81">
        <v>32374.02</v>
      </c>
      <c r="F204" s="81">
        <v>241972.5</v>
      </c>
      <c r="G204" s="81">
        <v>209598.48</v>
      </c>
      <c r="H204" s="81">
        <v>32374.02</v>
      </c>
      <c r="I204" s="81">
        <v>0</v>
      </c>
    </row>
    <row r="205" spans="1:9" ht="12.75">
      <c r="A205" t="s">
        <v>837</v>
      </c>
      <c r="B205" s="235" t="s">
        <v>838</v>
      </c>
      <c r="C205" s="81">
        <v>0</v>
      </c>
      <c r="D205" s="81">
        <v>0</v>
      </c>
      <c r="E205" s="81">
        <v>0</v>
      </c>
      <c r="F205" s="81">
        <v>0</v>
      </c>
      <c r="G205" s="81">
        <v>0</v>
      </c>
      <c r="H205" s="81">
        <v>0</v>
      </c>
      <c r="I205" s="81">
        <v>0</v>
      </c>
    </row>
    <row r="206" spans="1:9" ht="12.75">
      <c r="A206" t="s">
        <v>839</v>
      </c>
      <c r="B206" s="235" t="s">
        <v>505</v>
      </c>
      <c r="C206" s="81">
        <v>0</v>
      </c>
      <c r="D206" s="81">
        <v>2403.91</v>
      </c>
      <c r="E206" s="81">
        <v>-2403.91</v>
      </c>
      <c r="F206" s="81">
        <v>0</v>
      </c>
      <c r="G206" s="81">
        <v>2403.91</v>
      </c>
      <c r="H206" s="81">
        <v>-2403.91</v>
      </c>
      <c r="I206" s="81">
        <v>0</v>
      </c>
    </row>
    <row r="207" spans="1:9" ht="12.75">
      <c r="A207" t="s">
        <v>840</v>
      </c>
      <c r="B207" s="235" t="s">
        <v>506</v>
      </c>
      <c r="C207" s="81">
        <v>0</v>
      </c>
      <c r="D207" s="81">
        <v>179535.21</v>
      </c>
      <c r="E207" s="81">
        <v>-179535.21</v>
      </c>
      <c r="F207" s="81">
        <v>0</v>
      </c>
      <c r="G207" s="81">
        <v>179535.21</v>
      </c>
      <c r="H207" s="81">
        <v>-179535.21</v>
      </c>
      <c r="I207" s="81">
        <v>0</v>
      </c>
    </row>
    <row r="208" spans="1:9" ht="12.75">
      <c r="A208" t="s">
        <v>581</v>
      </c>
      <c r="B208" s="235" t="s">
        <v>874</v>
      </c>
      <c r="C208" s="81">
        <v>0</v>
      </c>
      <c r="D208" s="81">
        <v>0</v>
      </c>
      <c r="E208" s="81">
        <v>0</v>
      </c>
      <c r="F208" s="81">
        <v>0</v>
      </c>
      <c r="G208" s="81">
        <v>0</v>
      </c>
      <c r="H208" s="81">
        <v>0</v>
      </c>
      <c r="I208" s="81">
        <v>0</v>
      </c>
    </row>
    <row r="209" spans="1:9" ht="12.75">
      <c r="A209" t="s">
        <v>841</v>
      </c>
      <c r="B209" s="235" t="s">
        <v>382</v>
      </c>
      <c r="C209" s="81">
        <v>7993148.38</v>
      </c>
      <c r="D209" s="81">
        <v>6090829.32</v>
      </c>
      <c r="E209" s="81">
        <v>1902319.06</v>
      </c>
      <c r="F209" s="81">
        <v>7993148.38</v>
      </c>
      <c r="G209" s="81">
        <v>6090829.32</v>
      </c>
      <c r="H209" s="81">
        <v>1902319.06</v>
      </c>
      <c r="I209" s="81">
        <v>0</v>
      </c>
    </row>
    <row r="210" spans="1:9" ht="12.75">
      <c r="A210" t="s">
        <v>842</v>
      </c>
      <c r="B210" s="236" t="s">
        <v>830</v>
      </c>
      <c r="C210" s="237">
        <v>11694815.88</v>
      </c>
      <c r="D210" s="237">
        <v>8848280.97</v>
      </c>
      <c r="E210" s="237">
        <v>2846534.91</v>
      </c>
      <c r="F210" s="237">
        <v>11694815.88</v>
      </c>
      <c r="G210" s="237">
        <v>8848280.97</v>
      </c>
      <c r="H210" s="237">
        <v>2846534.91</v>
      </c>
      <c r="I210" s="237">
        <v>0</v>
      </c>
    </row>
    <row r="212" spans="1:9" ht="12.75">
      <c r="A212" t="s">
        <v>843</v>
      </c>
      <c r="B212" s="235" t="s">
        <v>844</v>
      </c>
      <c r="C212" s="81">
        <v>0</v>
      </c>
      <c r="D212" s="81">
        <v>0</v>
      </c>
      <c r="E212" s="81">
        <v>0</v>
      </c>
      <c r="F212" s="81">
        <v>0</v>
      </c>
      <c r="G212" s="81">
        <v>0</v>
      </c>
      <c r="H212" s="81">
        <v>0</v>
      </c>
      <c r="I212" s="81">
        <v>0</v>
      </c>
    </row>
    <row r="213" spans="1:9" ht="12.75">
      <c r="A213" t="s">
        <v>845</v>
      </c>
      <c r="B213" s="235" t="s">
        <v>846</v>
      </c>
      <c r="C213" s="81">
        <v>0</v>
      </c>
      <c r="D213" s="81">
        <v>1203.5</v>
      </c>
      <c r="E213" s="81">
        <v>-1203.5</v>
      </c>
      <c r="F213" s="81">
        <v>0</v>
      </c>
      <c r="G213" s="81">
        <v>1203.5</v>
      </c>
      <c r="H213" s="81">
        <v>-1203.5</v>
      </c>
      <c r="I213" s="81">
        <v>0</v>
      </c>
    </row>
    <row r="214" spans="1:9" ht="12.75">
      <c r="A214" t="s">
        <v>847</v>
      </c>
      <c r="B214" s="235" t="s">
        <v>848</v>
      </c>
      <c r="C214" s="81">
        <v>0</v>
      </c>
      <c r="D214" s="81">
        <v>0</v>
      </c>
      <c r="E214" s="81">
        <v>0</v>
      </c>
      <c r="F214" s="81">
        <v>0</v>
      </c>
      <c r="G214" s="81">
        <v>0</v>
      </c>
      <c r="H214" s="81">
        <v>0</v>
      </c>
      <c r="I214" s="81">
        <v>0</v>
      </c>
    </row>
    <row r="215" spans="1:9" ht="12.75">
      <c r="A215" t="s">
        <v>849</v>
      </c>
      <c r="B215" s="235" t="s">
        <v>850</v>
      </c>
      <c r="C215" s="81">
        <v>46820.52</v>
      </c>
      <c r="D215" s="81">
        <v>41818.57</v>
      </c>
      <c r="E215" s="81">
        <v>5001.95</v>
      </c>
      <c r="F215" s="81">
        <v>46820.52</v>
      </c>
      <c r="G215" s="81">
        <v>41818.57</v>
      </c>
      <c r="H215" s="81">
        <v>5001.95</v>
      </c>
      <c r="I215" s="81">
        <v>0</v>
      </c>
    </row>
    <row r="216" spans="1:9" ht="12.75">
      <c r="A216" t="s">
        <v>851</v>
      </c>
      <c r="B216" s="235" t="s">
        <v>138</v>
      </c>
      <c r="C216" s="81">
        <v>0</v>
      </c>
      <c r="D216" s="81">
        <v>0</v>
      </c>
      <c r="E216" s="81">
        <v>0</v>
      </c>
      <c r="F216" s="81">
        <v>0</v>
      </c>
      <c r="G216" s="81">
        <v>0</v>
      </c>
      <c r="H216" s="81">
        <v>0</v>
      </c>
      <c r="I216" s="81">
        <v>0</v>
      </c>
    </row>
    <row r="217" spans="1:9" ht="12.75">
      <c r="A217" t="s">
        <v>852</v>
      </c>
      <c r="B217" s="235" t="s">
        <v>582</v>
      </c>
      <c r="C217" s="81">
        <v>0</v>
      </c>
      <c r="D217" s="81">
        <v>22140.26</v>
      </c>
      <c r="E217" s="81">
        <v>-22140.26</v>
      </c>
      <c r="F217" s="81">
        <v>0</v>
      </c>
      <c r="G217" s="81">
        <v>22140.26</v>
      </c>
      <c r="H217" s="81">
        <v>-22140.26</v>
      </c>
      <c r="I217" s="81">
        <v>0</v>
      </c>
    </row>
    <row r="218" spans="1:9" ht="12.75">
      <c r="A218" t="s">
        <v>853</v>
      </c>
      <c r="B218" s="235" t="s">
        <v>854</v>
      </c>
      <c r="C218" s="81">
        <v>3272477.24</v>
      </c>
      <c r="D218" s="81">
        <v>0</v>
      </c>
      <c r="E218" s="81">
        <v>3272477.24</v>
      </c>
      <c r="F218" s="81">
        <v>3272477.24</v>
      </c>
      <c r="G218" s="81">
        <v>0</v>
      </c>
      <c r="H218" s="81">
        <v>3272477.24</v>
      </c>
      <c r="I218" s="81">
        <v>0</v>
      </c>
    </row>
    <row r="219" spans="1:9" ht="12.75">
      <c r="A219" t="s">
        <v>855</v>
      </c>
      <c r="B219" s="235" t="s">
        <v>609</v>
      </c>
      <c r="C219" s="81">
        <v>547.25</v>
      </c>
      <c r="D219" s="81">
        <v>9210.4</v>
      </c>
      <c r="E219" s="81">
        <v>-8663.15</v>
      </c>
      <c r="F219" s="81">
        <v>547.25</v>
      </c>
      <c r="G219" s="81">
        <v>9210.4</v>
      </c>
      <c r="H219" s="81">
        <v>-8663.15</v>
      </c>
      <c r="I219" s="81">
        <v>0</v>
      </c>
    </row>
    <row r="220" spans="1:9" ht="12.75">
      <c r="A220" t="s">
        <v>856</v>
      </c>
      <c r="B220" s="236" t="s">
        <v>844</v>
      </c>
      <c r="C220" s="237">
        <v>3319845.01</v>
      </c>
      <c r="D220" s="237">
        <v>74372.73</v>
      </c>
      <c r="E220" s="237">
        <v>3245472.28</v>
      </c>
      <c r="F220" s="237">
        <v>3319845.01</v>
      </c>
      <c r="G220" s="237">
        <v>74372.73</v>
      </c>
      <c r="H220" s="237">
        <v>3245472.28</v>
      </c>
      <c r="I220" s="237">
        <v>0</v>
      </c>
    </row>
    <row r="222" spans="1:9" ht="12.75">
      <c r="A222" t="s">
        <v>857</v>
      </c>
      <c r="B222" s="235" t="s">
        <v>858</v>
      </c>
      <c r="C222" s="81">
        <v>0</v>
      </c>
      <c r="D222" s="81">
        <v>0</v>
      </c>
      <c r="E222" s="81">
        <v>0</v>
      </c>
      <c r="F222" s="81">
        <v>0</v>
      </c>
      <c r="G222" s="81">
        <v>0</v>
      </c>
      <c r="H222" s="81">
        <v>0</v>
      </c>
      <c r="I222" s="81">
        <v>0</v>
      </c>
    </row>
    <row r="223" spans="1:9" ht="12.75">
      <c r="A223" t="s">
        <v>859</v>
      </c>
      <c r="B223" s="235" t="s">
        <v>610</v>
      </c>
      <c r="C223" s="81">
        <v>104752560.26</v>
      </c>
      <c r="D223" s="81">
        <v>148788869.77</v>
      </c>
      <c r="E223" s="81">
        <v>-44036309.51</v>
      </c>
      <c r="F223" s="81">
        <v>104752560.26</v>
      </c>
      <c r="G223" s="81">
        <v>148788869.77</v>
      </c>
      <c r="H223" s="81">
        <v>-44036309.51</v>
      </c>
      <c r="I223" s="81">
        <v>0</v>
      </c>
    </row>
    <row r="224" spans="1:9" ht="12.75">
      <c r="A224" t="s">
        <v>611</v>
      </c>
      <c r="B224" s="235" t="s">
        <v>612</v>
      </c>
      <c r="C224" s="81">
        <v>0</v>
      </c>
      <c r="D224" s="81">
        <v>0</v>
      </c>
      <c r="E224" s="81">
        <v>0</v>
      </c>
      <c r="F224" s="81">
        <v>0</v>
      </c>
      <c r="G224" s="81">
        <v>0</v>
      </c>
      <c r="H224" s="81">
        <v>0</v>
      </c>
      <c r="I224" s="81">
        <v>0</v>
      </c>
    </row>
    <row r="225" spans="1:9" ht="12.75">
      <c r="A225" t="s">
        <v>860</v>
      </c>
      <c r="B225" s="236" t="s">
        <v>858</v>
      </c>
      <c r="C225" s="237">
        <v>104752560.26</v>
      </c>
      <c r="D225" s="237">
        <v>148788869.77</v>
      </c>
      <c r="E225" s="237">
        <v>-44036309.51</v>
      </c>
      <c r="F225" s="237">
        <v>104752560.26</v>
      </c>
      <c r="G225" s="237">
        <v>148788869.77</v>
      </c>
      <c r="H225" s="237">
        <v>-44036309.51</v>
      </c>
      <c r="I225" s="237">
        <v>0</v>
      </c>
    </row>
    <row r="227" spans="2:9" ht="12.75">
      <c r="B227" s="238" t="s">
        <v>861</v>
      </c>
      <c r="C227" s="239">
        <v>626827727.65</v>
      </c>
      <c r="D227" s="239">
        <v>626827727.65</v>
      </c>
      <c r="E227" s="239">
        <v>0</v>
      </c>
      <c r="F227" s="239">
        <v>626827727.65</v>
      </c>
      <c r="G227" s="239">
        <v>626827727.65</v>
      </c>
      <c r="H227" s="239">
        <v>0</v>
      </c>
      <c r="I227" s="239">
        <v>0</v>
      </c>
    </row>
    <row r="229" spans="1:9" ht="12.75">
      <c r="A229" t="s">
        <v>862</v>
      </c>
      <c r="B229" s="235" t="s">
        <v>863</v>
      </c>
      <c r="C229" s="81">
        <v>0</v>
      </c>
      <c r="D229" s="81">
        <v>0</v>
      </c>
      <c r="E229" s="81">
        <v>0</v>
      </c>
      <c r="F229" s="81">
        <v>0</v>
      </c>
      <c r="G229" s="81">
        <v>0</v>
      </c>
      <c r="H229" s="81">
        <v>0</v>
      </c>
      <c r="I229" s="81">
        <v>0</v>
      </c>
    </row>
    <row r="230" spans="1:9" ht="12.75">
      <c r="A230" t="s">
        <v>864</v>
      </c>
      <c r="B230" s="235" t="s">
        <v>507</v>
      </c>
      <c r="C230" s="81">
        <v>0</v>
      </c>
      <c r="D230" s="81">
        <v>0</v>
      </c>
      <c r="E230" s="81">
        <v>0</v>
      </c>
      <c r="F230" s="81">
        <v>0</v>
      </c>
      <c r="G230" s="81">
        <v>0</v>
      </c>
      <c r="H230" s="81">
        <v>0</v>
      </c>
      <c r="I230" s="81">
        <v>0</v>
      </c>
    </row>
    <row r="231" spans="1:9" ht="12.75">
      <c r="A231" t="s">
        <v>865</v>
      </c>
      <c r="B231" s="235" t="s">
        <v>508</v>
      </c>
      <c r="C231" s="81">
        <v>0</v>
      </c>
      <c r="D231" s="81">
        <v>0</v>
      </c>
      <c r="E231" s="81">
        <v>0</v>
      </c>
      <c r="F231" s="81">
        <v>0</v>
      </c>
      <c r="G231" s="81">
        <v>0</v>
      </c>
      <c r="H231" s="81">
        <v>0</v>
      </c>
      <c r="I231" s="81">
        <v>0</v>
      </c>
    </row>
    <row r="232" spans="1:9" ht="12.75">
      <c r="A232" t="s">
        <v>866</v>
      </c>
      <c r="B232" s="235" t="s">
        <v>509</v>
      </c>
      <c r="C232" s="81">
        <v>2002535.31</v>
      </c>
      <c r="D232" s="81">
        <v>0</v>
      </c>
      <c r="E232" s="81">
        <v>2002535.31</v>
      </c>
      <c r="F232" s="81">
        <v>2002535.31</v>
      </c>
      <c r="G232" s="81">
        <v>0</v>
      </c>
      <c r="H232" s="81">
        <v>2002535.31</v>
      </c>
      <c r="I232" s="81">
        <v>0</v>
      </c>
    </row>
    <row r="233" spans="1:9" ht="12.75">
      <c r="A233" t="s">
        <v>867</v>
      </c>
      <c r="B233" s="235" t="s">
        <v>510</v>
      </c>
      <c r="C233" s="81">
        <v>215710.83</v>
      </c>
      <c r="D233" s="81">
        <v>0</v>
      </c>
      <c r="E233" s="81">
        <v>215710.83</v>
      </c>
      <c r="F233" s="81">
        <v>215710.83</v>
      </c>
      <c r="G233" s="81">
        <v>0</v>
      </c>
      <c r="H233" s="81">
        <v>215710.83</v>
      </c>
      <c r="I233" s="81">
        <v>0</v>
      </c>
    </row>
    <row r="234" spans="1:9" ht="12.75">
      <c r="A234" t="s">
        <v>868</v>
      </c>
      <c r="B234" s="235" t="s">
        <v>510</v>
      </c>
      <c r="C234" s="81">
        <v>147667.91</v>
      </c>
      <c r="D234" s="81">
        <v>0</v>
      </c>
      <c r="E234" s="81">
        <v>147667.91</v>
      </c>
      <c r="F234" s="81">
        <v>147667.91</v>
      </c>
      <c r="G234" s="81">
        <v>0</v>
      </c>
      <c r="H234" s="81">
        <v>147667.91</v>
      </c>
      <c r="I234" s="81">
        <v>0</v>
      </c>
    </row>
    <row r="235" spans="1:9" ht="12.75">
      <c r="A235" t="s">
        <v>869</v>
      </c>
      <c r="B235" s="235" t="s">
        <v>512</v>
      </c>
      <c r="C235" s="81">
        <v>209598.48</v>
      </c>
      <c r="D235" s="81">
        <v>0</v>
      </c>
      <c r="E235" s="81">
        <v>209598.48</v>
      </c>
      <c r="F235" s="81">
        <v>209598.48</v>
      </c>
      <c r="G235" s="81">
        <v>0</v>
      </c>
      <c r="H235" s="81">
        <v>209598.48</v>
      </c>
      <c r="I235" s="81">
        <v>0</v>
      </c>
    </row>
    <row r="236" spans="1:9" ht="12.75">
      <c r="A236" t="s">
        <v>870</v>
      </c>
      <c r="B236" s="235" t="s">
        <v>838</v>
      </c>
      <c r="C236" s="81">
        <v>0</v>
      </c>
      <c r="D236" s="81">
        <v>0</v>
      </c>
      <c r="E236" s="81">
        <v>0</v>
      </c>
      <c r="F236" s="81">
        <v>0</v>
      </c>
      <c r="G236" s="81">
        <v>0</v>
      </c>
      <c r="H236" s="81">
        <v>0</v>
      </c>
      <c r="I236" s="81">
        <v>0</v>
      </c>
    </row>
    <row r="237" spans="1:9" ht="12.75">
      <c r="A237" t="s">
        <v>871</v>
      </c>
      <c r="B237" s="235" t="s">
        <v>505</v>
      </c>
      <c r="C237" s="81">
        <v>2403.91</v>
      </c>
      <c r="D237" s="81">
        <v>0</v>
      </c>
      <c r="E237" s="81">
        <v>2403.91</v>
      </c>
      <c r="F237" s="81">
        <v>2403.91</v>
      </c>
      <c r="G237" s="81">
        <v>0</v>
      </c>
      <c r="H237" s="81">
        <v>2403.91</v>
      </c>
      <c r="I237" s="81">
        <v>0</v>
      </c>
    </row>
    <row r="238" spans="1:9" ht="12.75">
      <c r="A238" t="s">
        <v>872</v>
      </c>
      <c r="B238" s="235" t="s">
        <v>506</v>
      </c>
      <c r="C238" s="81">
        <v>179535.21</v>
      </c>
      <c r="D238" s="81">
        <v>0</v>
      </c>
      <c r="E238" s="81">
        <v>179535.21</v>
      </c>
      <c r="F238" s="81">
        <v>179535.21</v>
      </c>
      <c r="G238" s="81">
        <v>0</v>
      </c>
      <c r="H238" s="81">
        <v>179535.21</v>
      </c>
      <c r="I238" s="81">
        <v>0</v>
      </c>
    </row>
    <row r="239" spans="1:9" ht="12.75">
      <c r="A239" t="s">
        <v>613</v>
      </c>
      <c r="B239" s="235" t="s">
        <v>614</v>
      </c>
      <c r="C239" s="81">
        <v>0</v>
      </c>
      <c r="D239" s="81">
        <v>0</v>
      </c>
      <c r="E239" s="81">
        <v>0</v>
      </c>
      <c r="F239" s="81">
        <v>0</v>
      </c>
      <c r="G239" s="81">
        <v>0</v>
      </c>
      <c r="H239" s="81">
        <v>0</v>
      </c>
      <c r="I239" s="81">
        <v>0</v>
      </c>
    </row>
    <row r="240" spans="1:9" ht="12.75">
      <c r="A240" t="s">
        <v>873</v>
      </c>
      <c r="B240" s="235" t="s">
        <v>614</v>
      </c>
      <c r="C240" s="81">
        <v>6090829.32</v>
      </c>
      <c r="D240" s="81">
        <v>0</v>
      </c>
      <c r="E240" s="81">
        <v>6090829.32</v>
      </c>
      <c r="F240" s="81">
        <v>6090829.32</v>
      </c>
      <c r="G240" s="81">
        <v>0</v>
      </c>
      <c r="H240" s="81">
        <v>6090829.32</v>
      </c>
      <c r="I240" s="81">
        <v>0</v>
      </c>
    </row>
    <row r="241" spans="1:9" ht="12.75">
      <c r="A241" t="s">
        <v>875</v>
      </c>
      <c r="B241" s="236" t="s">
        <v>863</v>
      </c>
      <c r="C241" s="237">
        <v>8848280.97</v>
      </c>
      <c r="D241" s="237">
        <v>0</v>
      </c>
      <c r="E241" s="237">
        <v>8848280.97</v>
      </c>
      <c r="F241" s="237">
        <v>8848280.97</v>
      </c>
      <c r="G241" s="237">
        <v>0</v>
      </c>
      <c r="H241" s="237">
        <v>8848280.97</v>
      </c>
      <c r="I241" s="237">
        <v>0</v>
      </c>
    </row>
    <row r="243" spans="1:9" ht="12.75">
      <c r="A243" t="s">
        <v>876</v>
      </c>
      <c r="B243" s="235" t="s">
        <v>138</v>
      </c>
      <c r="C243" s="81">
        <v>0</v>
      </c>
      <c r="D243" s="81">
        <v>0</v>
      </c>
      <c r="E243" s="81">
        <v>0</v>
      </c>
      <c r="F243" s="81">
        <v>0</v>
      </c>
      <c r="G243" s="81">
        <v>0</v>
      </c>
      <c r="H243" s="81">
        <v>0</v>
      </c>
      <c r="I243" s="81">
        <v>0</v>
      </c>
    </row>
    <row r="244" spans="1:9" ht="12.75">
      <c r="A244" t="s">
        <v>877</v>
      </c>
      <c r="B244" s="235" t="s">
        <v>138</v>
      </c>
      <c r="C244" s="81">
        <v>78877.74</v>
      </c>
      <c r="D244" s="81">
        <v>0</v>
      </c>
      <c r="E244" s="81">
        <v>78877.74</v>
      </c>
      <c r="F244" s="81">
        <v>78877.74</v>
      </c>
      <c r="G244" s="81">
        <v>0</v>
      </c>
      <c r="H244" s="81">
        <v>78877.74</v>
      </c>
      <c r="I244" s="81">
        <v>0</v>
      </c>
    </row>
    <row r="245" spans="1:9" ht="12.75">
      <c r="A245" t="s">
        <v>878</v>
      </c>
      <c r="B245" s="236" t="s">
        <v>138</v>
      </c>
      <c r="C245" s="237">
        <v>78877.74</v>
      </c>
      <c r="D245" s="237">
        <v>0</v>
      </c>
      <c r="E245" s="237">
        <v>78877.74</v>
      </c>
      <c r="F245" s="237">
        <v>78877.74</v>
      </c>
      <c r="G245" s="237">
        <v>0</v>
      </c>
      <c r="H245" s="237">
        <v>78877.74</v>
      </c>
      <c r="I245" s="237">
        <v>0</v>
      </c>
    </row>
    <row r="247" spans="1:9" ht="12.75">
      <c r="A247" t="s">
        <v>879</v>
      </c>
      <c r="B247" s="235" t="s">
        <v>880</v>
      </c>
      <c r="C247" s="81">
        <v>0</v>
      </c>
      <c r="D247" s="81">
        <v>0</v>
      </c>
      <c r="E247" s="81">
        <v>0</v>
      </c>
      <c r="F247" s="81">
        <v>0</v>
      </c>
      <c r="G247" s="81">
        <v>0</v>
      </c>
      <c r="H247" s="81">
        <v>0</v>
      </c>
      <c r="I247" s="81">
        <v>0</v>
      </c>
    </row>
    <row r="248" spans="1:9" ht="12.75">
      <c r="A248" t="s">
        <v>881</v>
      </c>
      <c r="B248" s="235" t="s">
        <v>882</v>
      </c>
      <c r="C248" s="81">
        <v>0</v>
      </c>
      <c r="D248" s="81">
        <v>0</v>
      </c>
      <c r="E248" s="81">
        <v>0</v>
      </c>
      <c r="F248" s="81">
        <v>0</v>
      </c>
      <c r="G248" s="81">
        <v>0</v>
      </c>
      <c r="H248" s="81">
        <v>0</v>
      </c>
      <c r="I248" s="81">
        <v>0</v>
      </c>
    </row>
    <row r="249" spans="1:9" ht="12.75">
      <c r="A249" t="s">
        <v>883</v>
      </c>
      <c r="B249" s="236" t="s">
        <v>880</v>
      </c>
      <c r="C249" s="237">
        <v>0</v>
      </c>
      <c r="D249" s="237">
        <v>0</v>
      </c>
      <c r="E249" s="237">
        <v>0</v>
      </c>
      <c r="F249" s="237">
        <v>0</v>
      </c>
      <c r="G249" s="237">
        <v>0</v>
      </c>
      <c r="H249" s="237">
        <v>0</v>
      </c>
      <c r="I249" s="237">
        <v>0</v>
      </c>
    </row>
    <row r="251" spans="1:9" ht="12.75">
      <c r="A251" t="s">
        <v>884</v>
      </c>
      <c r="B251" s="235" t="s">
        <v>844</v>
      </c>
      <c r="C251" s="81">
        <v>0</v>
      </c>
      <c r="D251" s="81">
        <v>0</v>
      </c>
      <c r="E251" s="81">
        <v>0</v>
      </c>
      <c r="F251" s="81">
        <v>0</v>
      </c>
      <c r="G251" s="81">
        <v>0</v>
      </c>
      <c r="H251" s="81">
        <v>0</v>
      </c>
      <c r="I251" s="81">
        <v>0</v>
      </c>
    </row>
    <row r="252" spans="1:9" ht="12.75">
      <c r="A252" t="s">
        <v>885</v>
      </c>
      <c r="B252" s="235" t="s">
        <v>846</v>
      </c>
      <c r="C252" s="81">
        <v>1203.5</v>
      </c>
      <c r="D252" s="81">
        <v>0</v>
      </c>
      <c r="E252" s="81">
        <v>1203.5</v>
      </c>
      <c r="F252" s="81">
        <v>1203.5</v>
      </c>
      <c r="G252" s="81">
        <v>0</v>
      </c>
      <c r="H252" s="81">
        <v>1203.5</v>
      </c>
      <c r="I252" s="81">
        <v>0</v>
      </c>
    </row>
    <row r="253" spans="1:15" s="387" customFormat="1" ht="12.75">
      <c r="A253" t="s">
        <v>886</v>
      </c>
      <c r="B253" s="235" t="s">
        <v>887</v>
      </c>
      <c r="C253" s="81">
        <v>0</v>
      </c>
      <c r="D253" s="81">
        <v>0</v>
      </c>
      <c r="E253" s="81">
        <v>0</v>
      </c>
      <c r="F253" s="81">
        <v>0</v>
      </c>
      <c r="G253" s="81">
        <v>0</v>
      </c>
      <c r="H253" s="81">
        <v>0</v>
      </c>
      <c r="I253" s="81">
        <v>0</v>
      </c>
      <c r="J253"/>
      <c r="K253"/>
      <c r="L253"/>
      <c r="M253"/>
      <c r="N253"/>
      <c r="O253"/>
    </row>
    <row r="254" spans="1:9" ht="12.75">
      <c r="A254" t="s">
        <v>888</v>
      </c>
      <c r="B254" s="235" t="s">
        <v>889</v>
      </c>
      <c r="C254" s="81">
        <v>9210.4</v>
      </c>
      <c r="D254" s="81">
        <v>0</v>
      </c>
      <c r="E254" s="81">
        <v>9210.4</v>
      </c>
      <c r="F254" s="81">
        <v>9210.4</v>
      </c>
      <c r="G254" s="81">
        <v>0</v>
      </c>
      <c r="H254" s="81">
        <v>9210.4</v>
      </c>
      <c r="I254" s="81">
        <v>0</v>
      </c>
    </row>
    <row r="255" spans="1:9" ht="12.75">
      <c r="A255" t="s">
        <v>890</v>
      </c>
      <c r="B255" s="236" t="s">
        <v>844</v>
      </c>
      <c r="C255" s="237">
        <v>10413.9</v>
      </c>
      <c r="D255" s="237">
        <v>0</v>
      </c>
      <c r="E255" s="237">
        <v>10413.9</v>
      </c>
      <c r="F255" s="237">
        <v>10413.9</v>
      </c>
      <c r="G255" s="237">
        <v>0</v>
      </c>
      <c r="H255" s="237">
        <v>10413.9</v>
      </c>
      <c r="I255" s="237">
        <v>0</v>
      </c>
    </row>
    <row r="257" spans="1:9" ht="12.75">
      <c r="A257" t="s">
        <v>1344</v>
      </c>
      <c r="B257" s="235" t="s">
        <v>1345</v>
      </c>
      <c r="C257" s="81">
        <v>0</v>
      </c>
      <c r="D257" s="81">
        <v>0</v>
      </c>
      <c r="E257" s="81">
        <v>0</v>
      </c>
      <c r="F257" s="81">
        <v>0</v>
      </c>
      <c r="G257" s="81">
        <v>0</v>
      </c>
      <c r="H257" s="81">
        <v>0</v>
      </c>
      <c r="I257" s="81">
        <v>0</v>
      </c>
    </row>
    <row r="258" spans="1:9" ht="12.75">
      <c r="A258" t="s">
        <v>1346</v>
      </c>
      <c r="B258" s="236" t="s">
        <v>488</v>
      </c>
      <c r="C258" s="237">
        <v>0</v>
      </c>
      <c r="D258" s="237">
        <v>0</v>
      </c>
      <c r="E258" s="237">
        <v>0</v>
      </c>
      <c r="F258" s="237">
        <v>0</v>
      </c>
      <c r="G258" s="237">
        <v>0</v>
      </c>
      <c r="H258" s="237">
        <v>0</v>
      </c>
      <c r="I258" s="237">
        <v>0</v>
      </c>
    </row>
    <row r="260" spans="1:9" ht="12.75">
      <c r="A260" t="s">
        <v>891</v>
      </c>
      <c r="B260" s="235" t="s">
        <v>892</v>
      </c>
      <c r="C260" s="81">
        <v>0</v>
      </c>
      <c r="D260" s="81">
        <v>0</v>
      </c>
      <c r="E260" s="81">
        <v>0</v>
      </c>
      <c r="F260" s="81">
        <v>0</v>
      </c>
      <c r="G260" s="81">
        <v>0</v>
      </c>
      <c r="H260" s="81">
        <v>0</v>
      </c>
      <c r="I260" s="81">
        <v>0</v>
      </c>
    </row>
    <row r="261" spans="1:9" ht="12.75">
      <c r="A261" t="s">
        <v>893</v>
      </c>
      <c r="B261" s="235" t="s">
        <v>850</v>
      </c>
      <c r="C261" s="81">
        <v>41818.57</v>
      </c>
      <c r="D261" s="81">
        <v>0</v>
      </c>
      <c r="E261" s="81">
        <v>41818.57</v>
      </c>
      <c r="F261" s="81">
        <v>41818.57</v>
      </c>
      <c r="G261" s="81">
        <v>0</v>
      </c>
      <c r="H261" s="81">
        <v>41818.57</v>
      </c>
      <c r="I261" s="81">
        <v>0</v>
      </c>
    </row>
    <row r="262" spans="1:9" ht="12.75">
      <c r="A262" t="s">
        <v>894</v>
      </c>
      <c r="B262" s="235" t="s">
        <v>615</v>
      </c>
      <c r="C262" s="81">
        <v>22140.26</v>
      </c>
      <c r="D262" s="81">
        <v>0</v>
      </c>
      <c r="E262" s="81">
        <v>22140.26</v>
      </c>
      <c r="F262" s="81">
        <v>22140.26</v>
      </c>
      <c r="G262" s="81">
        <v>0</v>
      </c>
      <c r="H262" s="81">
        <v>22140.26</v>
      </c>
      <c r="I262" s="81">
        <v>0</v>
      </c>
    </row>
    <row r="263" spans="1:9" ht="12.75">
      <c r="A263" t="s">
        <v>895</v>
      </c>
      <c r="B263" s="235" t="s">
        <v>854</v>
      </c>
      <c r="C263" s="81">
        <v>0</v>
      </c>
      <c r="D263" s="81">
        <v>3272477.24</v>
      </c>
      <c r="E263" s="81">
        <v>-3272477.24</v>
      </c>
      <c r="F263" s="81">
        <v>0</v>
      </c>
      <c r="G263" s="81">
        <v>3272477.24</v>
      </c>
      <c r="H263" s="81">
        <v>-3272477.24</v>
      </c>
      <c r="I263" s="81">
        <v>0</v>
      </c>
    </row>
    <row r="264" spans="1:9" ht="12.75">
      <c r="A264" t="s">
        <v>896</v>
      </c>
      <c r="B264" s="236" t="s">
        <v>892</v>
      </c>
      <c r="C264" s="237">
        <v>63958.83</v>
      </c>
      <c r="D264" s="237">
        <v>3272477.24</v>
      </c>
      <c r="E264" s="237">
        <v>-3208518.41</v>
      </c>
      <c r="F264" s="237">
        <v>63958.83</v>
      </c>
      <c r="G264" s="237">
        <v>3272477.24</v>
      </c>
      <c r="H264" s="237">
        <v>-3208518.41</v>
      </c>
      <c r="I264" s="237">
        <v>0</v>
      </c>
    </row>
    <row r="266" spans="1:9" ht="12.75">
      <c r="A266" t="s">
        <v>897</v>
      </c>
      <c r="B266" s="235" t="s">
        <v>898</v>
      </c>
      <c r="C266" s="81">
        <v>0</v>
      </c>
      <c r="D266" s="81">
        <v>0</v>
      </c>
      <c r="E266" s="81">
        <v>0</v>
      </c>
      <c r="F266" s="81">
        <v>0</v>
      </c>
      <c r="G266" s="81">
        <v>0</v>
      </c>
      <c r="H266" s="81">
        <v>0</v>
      </c>
      <c r="I266" s="81">
        <v>0</v>
      </c>
    </row>
    <row r="267" spans="1:9" ht="12.75">
      <c r="A267" t="s">
        <v>899</v>
      </c>
      <c r="B267" s="235" t="s">
        <v>513</v>
      </c>
      <c r="C267" s="81">
        <v>0</v>
      </c>
      <c r="D267" s="81">
        <v>0</v>
      </c>
      <c r="E267" s="81">
        <v>0</v>
      </c>
      <c r="F267" s="81">
        <v>0</v>
      </c>
      <c r="G267" s="81">
        <v>0</v>
      </c>
      <c r="H267" s="81">
        <v>0</v>
      </c>
      <c r="I267" s="81">
        <v>0</v>
      </c>
    </row>
    <row r="268" spans="1:9" ht="12.75">
      <c r="A268" t="s">
        <v>900</v>
      </c>
      <c r="B268" s="235" t="s">
        <v>901</v>
      </c>
      <c r="C268" s="81">
        <v>0</v>
      </c>
      <c r="D268" s="81">
        <v>1465122.78</v>
      </c>
      <c r="E268" s="81">
        <v>-1465122.78</v>
      </c>
      <c r="F268" s="81">
        <v>0</v>
      </c>
      <c r="G268" s="81">
        <v>1465122.78</v>
      </c>
      <c r="H268" s="81">
        <v>-1465122.78</v>
      </c>
      <c r="I268" s="81">
        <v>0</v>
      </c>
    </row>
    <row r="269" spans="1:9" ht="12.75">
      <c r="A269" t="s">
        <v>902</v>
      </c>
      <c r="B269" s="235" t="s">
        <v>273</v>
      </c>
      <c r="C269" s="81">
        <v>0</v>
      </c>
      <c r="D269" s="81">
        <v>196.32</v>
      </c>
      <c r="E269" s="81">
        <v>-196.32</v>
      </c>
      <c r="F269" s="81">
        <v>0</v>
      </c>
      <c r="G269" s="81">
        <v>196.32</v>
      </c>
      <c r="H269" s="81">
        <v>-196.32</v>
      </c>
      <c r="I269" s="81">
        <v>0</v>
      </c>
    </row>
    <row r="270" spans="1:9" ht="12.75">
      <c r="A270" t="s">
        <v>903</v>
      </c>
      <c r="B270" s="235" t="s">
        <v>904</v>
      </c>
      <c r="C270" s="81">
        <v>0</v>
      </c>
      <c r="D270" s="81">
        <v>0</v>
      </c>
      <c r="E270" s="81">
        <v>0</v>
      </c>
      <c r="F270" s="81">
        <v>0</v>
      </c>
      <c r="G270" s="81">
        <v>0</v>
      </c>
      <c r="H270" s="81">
        <v>0</v>
      </c>
      <c r="I270" s="81">
        <v>0</v>
      </c>
    </row>
    <row r="271" spans="1:9" ht="12.75">
      <c r="A271" t="s">
        <v>905</v>
      </c>
      <c r="B271" s="235" t="s">
        <v>906</v>
      </c>
      <c r="C271" s="81">
        <v>0</v>
      </c>
      <c r="D271" s="81">
        <v>3582.54</v>
      </c>
      <c r="E271" s="81">
        <v>-3582.54</v>
      </c>
      <c r="F271" s="81">
        <v>0</v>
      </c>
      <c r="G271" s="81">
        <v>3582.54</v>
      </c>
      <c r="H271" s="81">
        <v>-3582.54</v>
      </c>
      <c r="I271" s="81">
        <v>0</v>
      </c>
    </row>
    <row r="272" spans="1:9" ht="12.75">
      <c r="A272" t="s">
        <v>616</v>
      </c>
      <c r="B272" s="235" t="s">
        <v>617</v>
      </c>
      <c r="C272" s="81">
        <v>0</v>
      </c>
      <c r="D272" s="81">
        <v>0</v>
      </c>
      <c r="E272" s="81">
        <v>0</v>
      </c>
      <c r="F272" s="81">
        <v>0</v>
      </c>
      <c r="G272" s="81">
        <v>0</v>
      </c>
      <c r="H272" s="81">
        <v>0</v>
      </c>
      <c r="I272" s="81">
        <v>0</v>
      </c>
    </row>
    <row r="273" spans="1:9" ht="12.75">
      <c r="A273" t="s">
        <v>907</v>
      </c>
      <c r="B273" s="235" t="s">
        <v>908</v>
      </c>
      <c r="C273" s="81">
        <v>0</v>
      </c>
      <c r="D273" s="81">
        <v>0</v>
      </c>
      <c r="E273" s="81">
        <v>0</v>
      </c>
      <c r="F273" s="81">
        <v>0</v>
      </c>
      <c r="G273" s="81">
        <v>0</v>
      </c>
      <c r="H273" s="81">
        <v>0</v>
      </c>
      <c r="I273" s="81">
        <v>0</v>
      </c>
    </row>
    <row r="274" spans="1:256" ht="12.75">
      <c r="A274" t="s">
        <v>909</v>
      </c>
      <c r="B274" s="235" t="s">
        <v>910</v>
      </c>
      <c r="C274" s="81">
        <v>0</v>
      </c>
      <c r="D274" s="81">
        <v>0</v>
      </c>
      <c r="E274" s="81">
        <v>0</v>
      </c>
      <c r="F274" s="81">
        <v>0</v>
      </c>
      <c r="G274" s="81">
        <v>0</v>
      </c>
      <c r="H274" s="81">
        <v>0</v>
      </c>
      <c r="I274" s="81">
        <v>0</v>
      </c>
      <c r="P274" s="533"/>
      <c r="Q274" s="533"/>
      <c r="R274" s="533"/>
      <c r="S274" s="478"/>
      <c r="T274" s="532"/>
      <c r="U274" s="533"/>
      <c r="V274" s="533"/>
      <c r="W274" s="533"/>
      <c r="X274" s="533"/>
      <c r="Y274" s="533"/>
      <c r="Z274" s="533"/>
      <c r="AA274" s="533"/>
      <c r="AB274" s="478"/>
      <c r="AC274" s="532"/>
      <c r="AD274" s="533"/>
      <c r="AE274" s="533"/>
      <c r="AF274" s="533"/>
      <c r="AG274" s="533"/>
      <c r="AH274" s="533"/>
      <c r="AI274" s="533"/>
      <c r="AJ274" s="533"/>
      <c r="AK274" s="478"/>
      <c r="AL274" s="532"/>
      <c r="AM274" s="533"/>
      <c r="AN274" s="533"/>
      <c r="AO274" s="533"/>
      <c r="AP274" s="533"/>
      <c r="AQ274" s="533"/>
      <c r="AR274" s="533"/>
      <c r="AS274" s="533"/>
      <c r="AT274" s="478"/>
      <c r="AU274" s="532"/>
      <c r="AV274" s="533"/>
      <c r="AW274" s="533"/>
      <c r="AX274" s="533"/>
      <c r="AY274" s="533"/>
      <c r="AZ274" s="533"/>
      <c r="BA274" s="533"/>
      <c r="BB274" s="533"/>
      <c r="BC274" s="478"/>
      <c r="BD274" s="532"/>
      <c r="BE274" s="533"/>
      <c r="BF274" s="533"/>
      <c r="BG274" s="533"/>
      <c r="BH274" s="533"/>
      <c r="BI274" s="533"/>
      <c r="BJ274" s="533"/>
      <c r="BK274" s="533"/>
      <c r="BL274" s="478"/>
      <c r="BM274" s="532"/>
      <c r="BN274" s="533"/>
      <c r="BO274" s="533"/>
      <c r="BP274" s="533"/>
      <c r="BQ274" s="533"/>
      <c r="BR274" s="533"/>
      <c r="BS274" s="533"/>
      <c r="BT274" s="533"/>
      <c r="BU274" s="478"/>
      <c r="BV274" s="532"/>
      <c r="BW274" s="533"/>
      <c r="BX274" s="533"/>
      <c r="BY274" s="533"/>
      <c r="BZ274" s="533"/>
      <c r="CA274" s="533"/>
      <c r="CB274" s="533"/>
      <c r="CC274" s="533"/>
      <c r="CD274" s="478"/>
      <c r="CE274" s="532"/>
      <c r="CF274" s="533"/>
      <c r="CG274" s="533"/>
      <c r="CH274" s="533"/>
      <c r="CI274" s="533"/>
      <c r="CJ274" s="533"/>
      <c r="CK274" s="533"/>
      <c r="CL274" s="533"/>
      <c r="CM274" s="478"/>
      <c r="CN274" s="532"/>
      <c r="CO274" s="533"/>
      <c r="CP274" s="533"/>
      <c r="CQ274" s="533"/>
      <c r="CR274" s="533"/>
      <c r="CS274" s="533"/>
      <c r="CT274" s="533"/>
      <c r="CU274" s="533"/>
      <c r="CV274" s="478"/>
      <c r="CW274" s="532"/>
      <c r="CX274" s="533"/>
      <c r="CY274" s="533"/>
      <c r="CZ274" s="533"/>
      <c r="DA274" s="533"/>
      <c r="DB274" s="533"/>
      <c r="DC274" s="533"/>
      <c r="DD274" s="533"/>
      <c r="DE274" s="478"/>
      <c r="DF274" s="532"/>
      <c r="DG274" s="533"/>
      <c r="DH274" s="533"/>
      <c r="DI274" s="533"/>
      <c r="DJ274" s="533"/>
      <c r="DK274" s="533"/>
      <c r="DL274" s="533"/>
      <c r="DM274" s="533"/>
      <c r="DN274" s="478"/>
      <c r="DO274" s="532"/>
      <c r="DP274" s="533"/>
      <c r="DQ274" s="533"/>
      <c r="DR274" s="533"/>
      <c r="DS274" s="533"/>
      <c r="DT274" s="533"/>
      <c r="DU274" s="533"/>
      <c r="DV274" s="533"/>
      <c r="DW274" s="478"/>
      <c r="DX274" s="532"/>
      <c r="DY274" s="533"/>
      <c r="DZ274" s="533"/>
      <c r="EA274" s="533"/>
      <c r="EB274" s="533"/>
      <c r="EC274" s="533"/>
      <c r="ED274" s="533"/>
      <c r="EE274" s="533"/>
      <c r="EF274" s="478"/>
      <c r="EG274" s="532"/>
      <c r="EH274" s="533"/>
      <c r="EI274" s="533"/>
      <c r="EJ274" s="533"/>
      <c r="EK274" s="533"/>
      <c r="EL274" s="533"/>
      <c r="EM274" s="533"/>
      <c r="EN274" s="533"/>
      <c r="EO274" s="478"/>
      <c r="EP274" s="532"/>
      <c r="EQ274" s="533"/>
      <c r="ER274" s="533"/>
      <c r="ES274" s="533"/>
      <c r="ET274" s="533"/>
      <c r="EU274" s="533"/>
      <c r="EV274" s="533"/>
      <c r="EW274" s="533"/>
      <c r="EX274" s="478"/>
      <c r="EY274" s="532"/>
      <c r="EZ274" s="533"/>
      <c r="FA274" s="533"/>
      <c r="FB274" s="533"/>
      <c r="FC274" s="533"/>
      <c r="FD274" s="533"/>
      <c r="FE274" s="533"/>
      <c r="FF274" s="533"/>
      <c r="FG274" s="478"/>
      <c r="FH274" s="532"/>
      <c r="FI274" s="533"/>
      <c r="FJ274" s="533"/>
      <c r="FK274" s="533"/>
      <c r="FL274" s="533"/>
      <c r="FM274" s="533"/>
      <c r="FN274" s="533"/>
      <c r="FO274" s="533"/>
      <c r="FP274" s="478"/>
      <c r="FQ274" s="532"/>
      <c r="FR274" s="533"/>
      <c r="FS274" s="533"/>
      <c r="FT274" s="533"/>
      <c r="FU274" s="533"/>
      <c r="FV274" s="533"/>
      <c r="FW274" s="533"/>
      <c r="FX274" s="533"/>
      <c r="FY274" s="478"/>
      <c r="FZ274" s="532"/>
      <c r="GA274" s="533"/>
      <c r="GB274" s="533"/>
      <c r="GC274" s="533"/>
      <c r="GD274" s="533"/>
      <c r="GE274" s="533"/>
      <c r="GF274" s="533"/>
      <c r="GG274" s="533"/>
      <c r="GH274" s="478"/>
      <c r="GI274" s="532"/>
      <c r="GJ274" s="533"/>
      <c r="GK274" s="533"/>
      <c r="GL274" s="533"/>
      <c r="GM274" s="533"/>
      <c r="GN274" s="533"/>
      <c r="GO274" s="533"/>
      <c r="GP274" s="533"/>
      <c r="GQ274" s="478"/>
      <c r="GR274" s="532"/>
      <c r="GS274" s="533"/>
      <c r="GT274" s="533"/>
      <c r="GU274" s="533"/>
      <c r="GV274" s="533"/>
      <c r="GW274" s="533"/>
      <c r="GX274" s="533"/>
      <c r="GY274" s="533"/>
      <c r="GZ274" s="478"/>
      <c r="HA274" s="532"/>
      <c r="HB274" s="533"/>
      <c r="HC274" s="533"/>
      <c r="HD274" s="533"/>
      <c r="HE274" s="533"/>
      <c r="HF274" s="533"/>
      <c r="HG274" s="533"/>
      <c r="HH274" s="533"/>
      <c r="HI274" s="478"/>
      <c r="HJ274" s="532"/>
      <c r="HK274" s="533"/>
      <c r="HL274" s="533"/>
      <c r="HM274" s="533"/>
      <c r="HN274" s="533"/>
      <c r="HO274" s="533"/>
      <c r="HP274" s="533"/>
      <c r="HQ274" s="533"/>
      <c r="HR274" s="478"/>
      <c r="HS274" s="532"/>
      <c r="HT274" s="533"/>
      <c r="HU274" s="533"/>
      <c r="HV274" s="533"/>
      <c r="HW274" s="533"/>
      <c r="HX274" s="533"/>
      <c r="HY274" s="533"/>
      <c r="HZ274" s="533"/>
      <c r="IA274" s="478"/>
      <c r="IB274" s="532"/>
      <c r="IC274" s="533"/>
      <c r="ID274" s="533"/>
      <c r="IE274" s="533"/>
      <c r="IF274" s="533"/>
      <c r="IG274" s="533"/>
      <c r="IH274" s="533"/>
      <c r="II274" s="533"/>
      <c r="IJ274" s="478"/>
      <c r="IK274" s="532"/>
      <c r="IL274" s="533"/>
      <c r="IM274" s="533"/>
      <c r="IN274" s="533"/>
      <c r="IO274" s="533"/>
      <c r="IP274" s="533"/>
      <c r="IQ274" s="533"/>
      <c r="IR274" s="533"/>
      <c r="IS274" s="478"/>
      <c r="IT274" s="532"/>
      <c r="IU274" s="533"/>
      <c r="IV274" s="533"/>
    </row>
    <row r="275" spans="1:256" ht="12.75">
      <c r="A275" t="s">
        <v>911</v>
      </c>
      <c r="B275" s="235" t="s">
        <v>912</v>
      </c>
      <c r="C275" s="81">
        <v>0</v>
      </c>
      <c r="D275" s="81">
        <v>0</v>
      </c>
      <c r="E275" s="81">
        <v>0</v>
      </c>
      <c r="F275" s="81">
        <v>0</v>
      </c>
      <c r="G275" s="81">
        <v>0</v>
      </c>
      <c r="H275" s="81">
        <v>0</v>
      </c>
      <c r="I275" s="81">
        <v>0</v>
      </c>
      <c r="P275" s="533"/>
      <c r="Q275" s="533"/>
      <c r="R275" s="533"/>
      <c r="S275" s="478"/>
      <c r="T275" s="532"/>
      <c r="U275" s="533"/>
      <c r="V275" s="533"/>
      <c r="W275" s="533"/>
      <c r="X275" s="533"/>
      <c r="Y275" s="533"/>
      <c r="Z275" s="533"/>
      <c r="AA275" s="533"/>
      <c r="AB275" s="478"/>
      <c r="AC275" s="532"/>
      <c r="AD275" s="533"/>
      <c r="AE275" s="533"/>
      <c r="AF275" s="533"/>
      <c r="AG275" s="533"/>
      <c r="AH275" s="533"/>
      <c r="AI275" s="533"/>
      <c r="AJ275" s="533"/>
      <c r="AK275" s="478"/>
      <c r="AL275" s="532"/>
      <c r="AM275" s="533"/>
      <c r="AN275" s="533"/>
      <c r="AO275" s="533"/>
      <c r="AP275" s="533"/>
      <c r="AQ275" s="533"/>
      <c r="AR275" s="533"/>
      <c r="AS275" s="533"/>
      <c r="AT275" s="478"/>
      <c r="AU275" s="532"/>
      <c r="AV275" s="533"/>
      <c r="AW275" s="533"/>
      <c r="AX275" s="533"/>
      <c r="AY275" s="533"/>
      <c r="AZ275" s="533"/>
      <c r="BA275" s="533"/>
      <c r="BB275" s="533"/>
      <c r="BC275" s="478"/>
      <c r="BD275" s="532"/>
      <c r="BE275" s="533"/>
      <c r="BF275" s="533"/>
      <c r="BG275" s="533"/>
      <c r="BH275" s="533"/>
      <c r="BI275" s="533"/>
      <c r="BJ275" s="533"/>
      <c r="BK275" s="533"/>
      <c r="BL275" s="478"/>
      <c r="BM275" s="532"/>
      <c r="BN275" s="533"/>
      <c r="BO275" s="533"/>
      <c r="BP275" s="533"/>
      <c r="BQ275" s="533"/>
      <c r="BR275" s="533"/>
      <c r="BS275" s="533"/>
      <c r="BT275" s="533"/>
      <c r="BU275" s="478"/>
      <c r="BV275" s="532"/>
      <c r="BW275" s="533"/>
      <c r="BX275" s="533"/>
      <c r="BY275" s="533"/>
      <c r="BZ275" s="533"/>
      <c r="CA275" s="533"/>
      <c r="CB275" s="533"/>
      <c r="CC275" s="533"/>
      <c r="CD275" s="478"/>
      <c r="CE275" s="532"/>
      <c r="CF275" s="533"/>
      <c r="CG275" s="533"/>
      <c r="CH275" s="533"/>
      <c r="CI275" s="533"/>
      <c r="CJ275" s="533"/>
      <c r="CK275" s="533"/>
      <c r="CL275" s="533"/>
      <c r="CM275" s="478"/>
      <c r="CN275" s="532"/>
      <c r="CO275" s="533"/>
      <c r="CP275" s="533"/>
      <c r="CQ275" s="533"/>
      <c r="CR275" s="533"/>
      <c r="CS275" s="533"/>
      <c r="CT275" s="533"/>
      <c r="CU275" s="533"/>
      <c r="CV275" s="478"/>
      <c r="CW275" s="532"/>
      <c r="CX275" s="533"/>
      <c r="CY275" s="533"/>
      <c r="CZ275" s="533"/>
      <c r="DA275" s="533"/>
      <c r="DB275" s="533"/>
      <c r="DC275" s="533"/>
      <c r="DD275" s="533"/>
      <c r="DE275" s="478"/>
      <c r="DF275" s="532"/>
      <c r="DG275" s="533"/>
      <c r="DH275" s="533"/>
      <c r="DI275" s="533"/>
      <c r="DJ275" s="533"/>
      <c r="DK275" s="533"/>
      <c r="DL275" s="533"/>
      <c r="DM275" s="533"/>
      <c r="DN275" s="478"/>
      <c r="DO275" s="532"/>
      <c r="DP275" s="533"/>
      <c r="DQ275" s="533"/>
      <c r="DR275" s="533"/>
      <c r="DS275" s="533"/>
      <c r="DT275" s="533"/>
      <c r="DU275" s="533"/>
      <c r="DV275" s="533"/>
      <c r="DW275" s="478"/>
      <c r="DX275" s="532"/>
      <c r="DY275" s="533"/>
      <c r="DZ275" s="533"/>
      <c r="EA275" s="533"/>
      <c r="EB275" s="533"/>
      <c r="EC275" s="533"/>
      <c r="ED275" s="533"/>
      <c r="EE275" s="533"/>
      <c r="EF275" s="478"/>
      <c r="EG275" s="532"/>
      <c r="EH275" s="533"/>
      <c r="EI275" s="533"/>
      <c r="EJ275" s="533"/>
      <c r="EK275" s="533"/>
      <c r="EL275" s="533"/>
      <c r="EM275" s="533"/>
      <c r="EN275" s="533"/>
      <c r="EO275" s="478"/>
      <c r="EP275" s="532"/>
      <c r="EQ275" s="533"/>
      <c r="ER275" s="533"/>
      <c r="ES275" s="533"/>
      <c r="ET275" s="533"/>
      <c r="EU275" s="533"/>
      <c r="EV275" s="533"/>
      <c r="EW275" s="533"/>
      <c r="EX275" s="478"/>
      <c r="EY275" s="532"/>
      <c r="EZ275" s="533"/>
      <c r="FA275" s="533"/>
      <c r="FB275" s="533"/>
      <c r="FC275" s="533"/>
      <c r="FD275" s="533"/>
      <c r="FE275" s="533"/>
      <c r="FF275" s="533"/>
      <c r="FG275" s="478"/>
      <c r="FH275" s="532"/>
      <c r="FI275" s="533"/>
      <c r="FJ275" s="533"/>
      <c r="FK275" s="533"/>
      <c r="FL275" s="533"/>
      <c r="FM275" s="533"/>
      <c r="FN275" s="533"/>
      <c r="FO275" s="533"/>
      <c r="FP275" s="478"/>
      <c r="FQ275" s="532"/>
      <c r="FR275" s="533"/>
      <c r="FS275" s="533"/>
      <c r="FT275" s="533"/>
      <c r="FU275" s="533"/>
      <c r="FV275" s="533"/>
      <c r="FW275" s="533"/>
      <c r="FX275" s="533"/>
      <c r="FY275" s="478"/>
      <c r="FZ275" s="532"/>
      <c r="GA275" s="533"/>
      <c r="GB275" s="533"/>
      <c r="GC275" s="533"/>
      <c r="GD275" s="533"/>
      <c r="GE275" s="533"/>
      <c r="GF275" s="533"/>
      <c r="GG275" s="533"/>
      <c r="GH275" s="478"/>
      <c r="GI275" s="532"/>
      <c r="GJ275" s="533"/>
      <c r="GK275" s="533"/>
      <c r="GL275" s="533"/>
      <c r="GM275" s="533"/>
      <c r="GN275" s="533"/>
      <c r="GO275" s="533"/>
      <c r="GP275" s="533"/>
      <c r="GQ275" s="478"/>
      <c r="GR275" s="532"/>
      <c r="GS275" s="533"/>
      <c r="GT275" s="533"/>
      <c r="GU275" s="533"/>
      <c r="GV275" s="533"/>
      <c r="GW275" s="533"/>
      <c r="GX275" s="533"/>
      <c r="GY275" s="533"/>
      <c r="GZ275" s="478"/>
      <c r="HA275" s="532"/>
      <c r="HB275" s="533"/>
      <c r="HC275" s="533"/>
      <c r="HD275" s="533"/>
      <c r="HE275" s="533"/>
      <c r="HF275" s="533"/>
      <c r="HG275" s="533"/>
      <c r="HH275" s="533"/>
      <c r="HI275" s="478"/>
      <c r="HJ275" s="532"/>
      <c r="HK275" s="533"/>
      <c r="HL275" s="533"/>
      <c r="HM275" s="533"/>
      <c r="HN275" s="533"/>
      <c r="HO275" s="533"/>
      <c r="HP275" s="533"/>
      <c r="HQ275" s="533"/>
      <c r="HR275" s="478"/>
      <c r="HS275" s="532"/>
      <c r="HT275" s="533"/>
      <c r="HU275" s="533"/>
      <c r="HV275" s="533"/>
      <c r="HW275" s="533"/>
      <c r="HX275" s="533"/>
      <c r="HY275" s="533"/>
      <c r="HZ275" s="533"/>
      <c r="IA275" s="478"/>
      <c r="IB275" s="532"/>
      <c r="IC275" s="533"/>
      <c r="ID275" s="533"/>
      <c r="IE275" s="533"/>
      <c r="IF275" s="533"/>
      <c r="IG275" s="533"/>
      <c r="IH275" s="533"/>
      <c r="II275" s="533"/>
      <c r="IJ275" s="478"/>
      <c r="IK275" s="532"/>
      <c r="IL275" s="533"/>
      <c r="IM275" s="533"/>
      <c r="IN275" s="533"/>
      <c r="IO275" s="533"/>
      <c r="IP275" s="533"/>
      <c r="IQ275" s="533"/>
      <c r="IR275" s="533"/>
      <c r="IS275" s="478"/>
      <c r="IT275" s="532"/>
      <c r="IU275" s="533"/>
      <c r="IV275" s="533"/>
    </row>
    <row r="276" spans="1:9" ht="12.75">
      <c r="A276" t="s">
        <v>913</v>
      </c>
      <c r="B276" s="235" t="s">
        <v>914</v>
      </c>
      <c r="C276" s="81">
        <v>196.32</v>
      </c>
      <c r="D276" s="81">
        <v>0</v>
      </c>
      <c r="E276" s="81">
        <v>196.32</v>
      </c>
      <c r="F276" s="81">
        <v>196.32</v>
      </c>
      <c r="G276" s="81">
        <v>0</v>
      </c>
      <c r="H276" s="81">
        <v>196.32</v>
      </c>
      <c r="I276" s="81">
        <v>0</v>
      </c>
    </row>
    <row r="277" spans="1:9" ht="12.75">
      <c r="A277" t="s">
        <v>915</v>
      </c>
      <c r="B277" s="235" t="s">
        <v>916</v>
      </c>
      <c r="C277" s="81">
        <v>0</v>
      </c>
      <c r="D277" s="81">
        <v>0</v>
      </c>
      <c r="E277" s="81">
        <v>0</v>
      </c>
      <c r="F277" s="81">
        <v>0</v>
      </c>
      <c r="G277" s="81">
        <v>0</v>
      </c>
      <c r="H277" s="81">
        <v>0</v>
      </c>
      <c r="I277" s="81">
        <v>0</v>
      </c>
    </row>
    <row r="278" spans="1:9" ht="12.75">
      <c r="A278" t="s">
        <v>917</v>
      </c>
      <c r="B278" s="235" t="s">
        <v>918</v>
      </c>
      <c r="C278" s="81">
        <v>0</v>
      </c>
      <c r="D278" s="81">
        <v>0</v>
      </c>
      <c r="E278" s="81">
        <v>0</v>
      </c>
      <c r="F278" s="81">
        <v>0</v>
      </c>
      <c r="G278" s="81">
        <v>0</v>
      </c>
      <c r="H278" s="81">
        <v>0</v>
      </c>
      <c r="I278" s="81">
        <v>0</v>
      </c>
    </row>
    <row r="279" spans="1:9" ht="12.75">
      <c r="A279" t="s">
        <v>919</v>
      </c>
      <c r="B279" s="235" t="s">
        <v>920</v>
      </c>
      <c r="C279" s="81">
        <v>0</v>
      </c>
      <c r="D279" s="81">
        <v>0</v>
      </c>
      <c r="E279" s="81">
        <v>0</v>
      </c>
      <c r="F279" s="81">
        <v>0</v>
      </c>
      <c r="G279" s="81">
        <v>0</v>
      </c>
      <c r="H279" s="81">
        <v>0</v>
      </c>
      <c r="I279" s="81">
        <v>0</v>
      </c>
    </row>
    <row r="280" spans="1:9" ht="12.75">
      <c r="A280" t="s">
        <v>921</v>
      </c>
      <c r="B280" s="235" t="s">
        <v>918</v>
      </c>
      <c r="C280" s="81">
        <v>0</v>
      </c>
      <c r="D280" s="81">
        <v>0</v>
      </c>
      <c r="E280" s="81">
        <v>0</v>
      </c>
      <c r="F280" s="81">
        <v>0</v>
      </c>
      <c r="G280" s="81">
        <v>0</v>
      </c>
      <c r="H280" s="81">
        <v>0</v>
      </c>
      <c r="I280" s="81">
        <v>0</v>
      </c>
    </row>
    <row r="281" spans="1:256" ht="12.75">
      <c r="A281" t="s">
        <v>922</v>
      </c>
      <c r="B281" s="235" t="s">
        <v>923</v>
      </c>
      <c r="C281" s="81">
        <v>0</v>
      </c>
      <c r="D281" s="81">
        <v>0</v>
      </c>
      <c r="E281" s="81">
        <v>0</v>
      </c>
      <c r="F281" s="81">
        <v>0</v>
      </c>
      <c r="G281" s="81">
        <v>0</v>
      </c>
      <c r="H281" s="81">
        <v>0</v>
      </c>
      <c r="I281" s="81">
        <v>0</v>
      </c>
      <c r="P281" s="533"/>
      <c r="Q281" s="533"/>
      <c r="R281" s="533"/>
      <c r="S281" s="478"/>
      <c r="T281" s="532"/>
      <c r="U281" s="533"/>
      <c r="V281" s="533"/>
      <c r="W281" s="533"/>
      <c r="X281" s="533"/>
      <c r="Y281" s="533"/>
      <c r="Z281" s="533"/>
      <c r="AA281" s="533"/>
      <c r="AB281" s="478"/>
      <c r="AC281" s="532"/>
      <c r="AD281" s="533"/>
      <c r="AE281" s="533"/>
      <c r="AF281" s="533"/>
      <c r="AG281" s="533"/>
      <c r="AH281" s="533"/>
      <c r="AI281" s="533"/>
      <c r="AJ281" s="533"/>
      <c r="AK281" s="478"/>
      <c r="AL281" s="532"/>
      <c r="AM281" s="533"/>
      <c r="AN281" s="533"/>
      <c r="AO281" s="533"/>
      <c r="AP281" s="533"/>
      <c r="AQ281" s="533"/>
      <c r="AR281" s="533"/>
      <c r="AS281" s="533"/>
      <c r="AT281" s="478"/>
      <c r="AU281" s="532"/>
      <c r="AV281" s="533"/>
      <c r="AW281" s="533"/>
      <c r="AX281" s="533"/>
      <c r="AY281" s="533"/>
      <c r="AZ281" s="533"/>
      <c r="BA281" s="533"/>
      <c r="BB281" s="533"/>
      <c r="BC281" s="478"/>
      <c r="BD281" s="532"/>
      <c r="BE281" s="533"/>
      <c r="BF281" s="533"/>
      <c r="BG281" s="533"/>
      <c r="BH281" s="533"/>
      <c r="BI281" s="533"/>
      <c r="BJ281" s="533"/>
      <c r="BK281" s="533"/>
      <c r="BL281" s="478"/>
      <c r="BM281" s="532"/>
      <c r="BN281" s="533"/>
      <c r="BO281" s="533"/>
      <c r="BP281" s="533"/>
      <c r="BQ281" s="533"/>
      <c r="BR281" s="533"/>
      <c r="BS281" s="533"/>
      <c r="BT281" s="533"/>
      <c r="BU281" s="478"/>
      <c r="BV281" s="532"/>
      <c r="BW281" s="533"/>
      <c r="BX281" s="533"/>
      <c r="BY281" s="533"/>
      <c r="BZ281" s="533"/>
      <c r="CA281" s="533"/>
      <c r="CB281" s="533"/>
      <c r="CC281" s="533"/>
      <c r="CD281" s="478"/>
      <c r="CE281" s="532"/>
      <c r="CF281" s="533"/>
      <c r="CG281" s="533"/>
      <c r="CH281" s="533"/>
      <c r="CI281" s="533"/>
      <c r="CJ281" s="533"/>
      <c r="CK281" s="533"/>
      <c r="CL281" s="533"/>
      <c r="CM281" s="478"/>
      <c r="CN281" s="532"/>
      <c r="CO281" s="533"/>
      <c r="CP281" s="533"/>
      <c r="CQ281" s="533"/>
      <c r="CR281" s="533"/>
      <c r="CS281" s="533"/>
      <c r="CT281" s="533"/>
      <c r="CU281" s="533"/>
      <c r="CV281" s="478"/>
      <c r="CW281" s="532"/>
      <c r="CX281" s="533"/>
      <c r="CY281" s="533"/>
      <c r="CZ281" s="533"/>
      <c r="DA281" s="533"/>
      <c r="DB281" s="533"/>
      <c r="DC281" s="533"/>
      <c r="DD281" s="533"/>
      <c r="DE281" s="478"/>
      <c r="DF281" s="532"/>
      <c r="DG281" s="533"/>
      <c r="DH281" s="533"/>
      <c r="DI281" s="533"/>
      <c r="DJ281" s="533"/>
      <c r="DK281" s="533"/>
      <c r="DL281" s="533"/>
      <c r="DM281" s="533"/>
      <c r="DN281" s="478"/>
      <c r="DO281" s="532"/>
      <c r="DP281" s="533"/>
      <c r="DQ281" s="533"/>
      <c r="DR281" s="533"/>
      <c r="DS281" s="533"/>
      <c r="DT281" s="533"/>
      <c r="DU281" s="533"/>
      <c r="DV281" s="533"/>
      <c r="DW281" s="478"/>
      <c r="DX281" s="532"/>
      <c r="DY281" s="533"/>
      <c r="DZ281" s="533"/>
      <c r="EA281" s="533"/>
      <c r="EB281" s="533"/>
      <c r="EC281" s="533"/>
      <c r="ED281" s="533"/>
      <c r="EE281" s="533"/>
      <c r="EF281" s="478"/>
      <c r="EG281" s="532"/>
      <c r="EH281" s="533"/>
      <c r="EI281" s="533"/>
      <c r="EJ281" s="533"/>
      <c r="EK281" s="533"/>
      <c r="EL281" s="533"/>
      <c r="EM281" s="533"/>
      <c r="EN281" s="533"/>
      <c r="EO281" s="478"/>
      <c r="EP281" s="532"/>
      <c r="EQ281" s="533"/>
      <c r="ER281" s="533"/>
      <c r="ES281" s="533"/>
      <c r="ET281" s="533"/>
      <c r="EU281" s="533"/>
      <c r="EV281" s="533"/>
      <c r="EW281" s="533"/>
      <c r="EX281" s="478"/>
      <c r="EY281" s="532"/>
      <c r="EZ281" s="533"/>
      <c r="FA281" s="533"/>
      <c r="FB281" s="533"/>
      <c r="FC281" s="533"/>
      <c r="FD281" s="533"/>
      <c r="FE281" s="533"/>
      <c r="FF281" s="533"/>
      <c r="FG281" s="478"/>
      <c r="FH281" s="532"/>
      <c r="FI281" s="533"/>
      <c r="FJ281" s="533"/>
      <c r="FK281" s="533"/>
      <c r="FL281" s="533"/>
      <c r="FM281" s="533"/>
      <c r="FN281" s="533"/>
      <c r="FO281" s="533"/>
      <c r="FP281" s="478"/>
      <c r="FQ281" s="532"/>
      <c r="FR281" s="533"/>
      <c r="FS281" s="533"/>
      <c r="FT281" s="533"/>
      <c r="FU281" s="533"/>
      <c r="FV281" s="533"/>
      <c r="FW281" s="533"/>
      <c r="FX281" s="533"/>
      <c r="FY281" s="478"/>
      <c r="FZ281" s="532"/>
      <c r="GA281" s="533"/>
      <c r="GB281" s="533"/>
      <c r="GC281" s="533"/>
      <c r="GD281" s="533"/>
      <c r="GE281" s="533"/>
      <c r="GF281" s="533"/>
      <c r="GG281" s="533"/>
      <c r="GH281" s="478"/>
      <c r="GI281" s="532"/>
      <c r="GJ281" s="533"/>
      <c r="GK281" s="533"/>
      <c r="GL281" s="533"/>
      <c r="GM281" s="533"/>
      <c r="GN281" s="533"/>
      <c r="GO281" s="533"/>
      <c r="GP281" s="533"/>
      <c r="GQ281" s="478"/>
      <c r="GR281" s="532"/>
      <c r="GS281" s="533"/>
      <c r="GT281" s="533"/>
      <c r="GU281" s="533"/>
      <c r="GV281" s="533"/>
      <c r="GW281" s="533"/>
      <c r="GX281" s="533"/>
      <c r="GY281" s="533"/>
      <c r="GZ281" s="478"/>
      <c r="HA281" s="532"/>
      <c r="HB281" s="533"/>
      <c r="HC281" s="533"/>
      <c r="HD281" s="533"/>
      <c r="HE281" s="533"/>
      <c r="HF281" s="533"/>
      <c r="HG281" s="533"/>
      <c r="HH281" s="533"/>
      <c r="HI281" s="478"/>
      <c r="HJ281" s="532"/>
      <c r="HK281" s="533"/>
      <c r="HL281" s="533"/>
      <c r="HM281" s="533"/>
      <c r="HN281" s="533"/>
      <c r="HO281" s="533"/>
      <c r="HP281" s="533"/>
      <c r="HQ281" s="533"/>
      <c r="HR281" s="478"/>
      <c r="HS281" s="532"/>
      <c r="HT281" s="533"/>
      <c r="HU281" s="533"/>
      <c r="HV281" s="533"/>
      <c r="HW281" s="533"/>
      <c r="HX281" s="533"/>
      <c r="HY281" s="533"/>
      <c r="HZ281" s="533"/>
      <c r="IA281" s="478"/>
      <c r="IB281" s="532"/>
      <c r="IC281" s="533"/>
      <c r="ID281" s="533"/>
      <c r="IE281" s="533"/>
      <c r="IF281" s="533"/>
      <c r="IG281" s="533"/>
      <c r="IH281" s="533"/>
      <c r="II281" s="533"/>
      <c r="IJ281" s="478"/>
      <c r="IK281" s="532"/>
      <c r="IL281" s="533"/>
      <c r="IM281" s="533"/>
      <c r="IN281" s="533"/>
      <c r="IO281" s="533"/>
      <c r="IP281" s="533"/>
      <c r="IQ281" s="533"/>
      <c r="IR281" s="533"/>
      <c r="IS281" s="478"/>
      <c r="IT281" s="532"/>
      <c r="IU281" s="533"/>
      <c r="IV281" s="533"/>
    </row>
    <row r="282" spans="1:9" ht="12.75">
      <c r="A282" t="s">
        <v>618</v>
      </c>
      <c r="B282" s="235" t="s">
        <v>614</v>
      </c>
      <c r="C282" s="81">
        <v>0</v>
      </c>
      <c r="D282" s="81">
        <v>0</v>
      </c>
      <c r="E282" s="81">
        <v>0</v>
      </c>
      <c r="F282" s="81">
        <v>0</v>
      </c>
      <c r="G282" s="81">
        <v>0</v>
      </c>
      <c r="H282" s="81">
        <v>0</v>
      </c>
      <c r="I282" s="81">
        <v>0</v>
      </c>
    </row>
    <row r="283" spans="1:9" ht="12.75">
      <c r="A283" t="s">
        <v>924</v>
      </c>
      <c r="B283" s="235" t="s">
        <v>619</v>
      </c>
      <c r="C283" s="81">
        <v>246937.26</v>
      </c>
      <c r="D283" s="81">
        <v>60761.21</v>
      </c>
      <c r="E283" s="81">
        <v>186176.05</v>
      </c>
      <c r="F283" s="81">
        <v>246937.26</v>
      </c>
      <c r="G283" s="81">
        <v>60761.21</v>
      </c>
      <c r="H283" s="81">
        <v>186176.05</v>
      </c>
      <c r="I283" s="81">
        <v>0</v>
      </c>
    </row>
    <row r="284" spans="1:9" ht="12.75">
      <c r="A284" t="s">
        <v>620</v>
      </c>
      <c r="B284" s="235" t="s">
        <v>614</v>
      </c>
      <c r="C284" s="81">
        <v>0</v>
      </c>
      <c r="D284" s="81">
        <v>0</v>
      </c>
      <c r="E284" s="81">
        <v>0</v>
      </c>
      <c r="F284" s="81">
        <v>0</v>
      </c>
      <c r="G284" s="81">
        <v>0</v>
      </c>
      <c r="H284" s="81">
        <v>0</v>
      </c>
      <c r="I284" s="81">
        <v>0</v>
      </c>
    </row>
    <row r="285" spans="1:9" ht="12.75">
      <c r="A285" t="s">
        <v>106</v>
      </c>
      <c r="B285" s="235" t="s">
        <v>382</v>
      </c>
      <c r="C285" s="81">
        <v>0</v>
      </c>
      <c r="D285" s="81">
        <v>2602562.79</v>
      </c>
      <c r="E285" s="81">
        <v>-2602562.79</v>
      </c>
      <c r="F285" s="81">
        <v>0</v>
      </c>
      <c r="G285" s="81">
        <v>2602562.79</v>
      </c>
      <c r="H285" s="81">
        <v>-2602562.79</v>
      </c>
      <c r="I285" s="81">
        <v>0</v>
      </c>
    </row>
    <row r="286" spans="1:9" ht="12.75">
      <c r="A286" t="s">
        <v>621</v>
      </c>
      <c r="B286" s="235" t="s">
        <v>622</v>
      </c>
      <c r="C286" s="81">
        <v>229.5</v>
      </c>
      <c r="D286" s="81">
        <v>388.03</v>
      </c>
      <c r="E286" s="81">
        <v>-158.53</v>
      </c>
      <c r="F286" s="81">
        <v>229.5</v>
      </c>
      <c r="G286" s="81">
        <v>388.03</v>
      </c>
      <c r="H286" s="81">
        <v>-158.53</v>
      </c>
      <c r="I286" s="81">
        <v>0</v>
      </c>
    </row>
    <row r="287" spans="1:15" s="387" customFormat="1" ht="12.75">
      <c r="A287" t="s">
        <v>925</v>
      </c>
      <c r="B287" s="235" t="s">
        <v>926</v>
      </c>
      <c r="C287" s="81">
        <v>4643.29</v>
      </c>
      <c r="D287" s="81">
        <v>24522.01</v>
      </c>
      <c r="E287" s="81">
        <v>-19878.72</v>
      </c>
      <c r="F287" s="81">
        <v>4643.29</v>
      </c>
      <c r="G287" s="81">
        <v>24522.01</v>
      </c>
      <c r="H287" s="81">
        <v>-19878.72</v>
      </c>
      <c r="I287" s="81">
        <v>0</v>
      </c>
      <c r="J287"/>
      <c r="K287"/>
      <c r="L287"/>
      <c r="M287"/>
      <c r="N287"/>
      <c r="O287"/>
    </row>
    <row r="288" spans="1:15" s="387" customFormat="1" ht="12.75">
      <c r="A288" t="s">
        <v>632</v>
      </c>
      <c r="B288" s="235" t="s">
        <v>633</v>
      </c>
      <c r="C288" s="81">
        <v>0</v>
      </c>
      <c r="D288" s="81">
        <v>0</v>
      </c>
      <c r="E288" s="81">
        <v>0</v>
      </c>
      <c r="F288" s="81">
        <v>0</v>
      </c>
      <c r="G288" s="81">
        <v>0</v>
      </c>
      <c r="H288" s="81">
        <v>0</v>
      </c>
      <c r="I288" s="81">
        <v>0</v>
      </c>
      <c r="J288"/>
      <c r="K288"/>
      <c r="L288"/>
      <c r="M288"/>
      <c r="N288"/>
      <c r="O288"/>
    </row>
    <row r="289" spans="1:9" ht="12.75">
      <c r="A289" t="s">
        <v>927</v>
      </c>
      <c r="B289" s="235" t="s">
        <v>928</v>
      </c>
      <c r="C289" s="81">
        <v>0</v>
      </c>
      <c r="D289" s="81">
        <v>0</v>
      </c>
      <c r="E289" s="81">
        <v>0</v>
      </c>
      <c r="F289" s="81">
        <v>0</v>
      </c>
      <c r="G289" s="81">
        <v>0</v>
      </c>
      <c r="H289" s="81">
        <v>0</v>
      </c>
      <c r="I289" s="81">
        <v>0</v>
      </c>
    </row>
    <row r="290" spans="1:9" ht="12.75">
      <c r="A290" t="s">
        <v>107</v>
      </c>
      <c r="B290" s="235" t="s">
        <v>928</v>
      </c>
      <c r="C290" s="81">
        <v>131780.1</v>
      </c>
      <c r="D290" s="81">
        <v>235518.88</v>
      </c>
      <c r="E290" s="81">
        <v>-103738.78</v>
      </c>
      <c r="F290" s="81">
        <v>131780.1</v>
      </c>
      <c r="G290" s="81">
        <v>235518.88</v>
      </c>
      <c r="H290" s="81">
        <v>-103738.78</v>
      </c>
      <c r="I290" s="81">
        <v>0</v>
      </c>
    </row>
    <row r="291" spans="1:9" ht="12.75">
      <c r="A291" t="s">
        <v>929</v>
      </c>
      <c r="B291" s="235" t="s">
        <v>930</v>
      </c>
      <c r="C291" s="81">
        <v>0</v>
      </c>
      <c r="D291" s="81">
        <v>0</v>
      </c>
      <c r="E291" s="81">
        <v>0</v>
      </c>
      <c r="F291" s="81">
        <v>0</v>
      </c>
      <c r="G291" s="81">
        <v>0</v>
      </c>
      <c r="H291" s="81">
        <v>0</v>
      </c>
      <c r="I291" s="81">
        <v>0</v>
      </c>
    </row>
    <row r="292" spans="1:9" ht="12.75">
      <c r="A292" t="s">
        <v>108</v>
      </c>
      <c r="B292" s="235" t="s">
        <v>930</v>
      </c>
      <c r="C292" s="81">
        <v>0</v>
      </c>
      <c r="D292" s="81">
        <v>0</v>
      </c>
      <c r="E292" s="81">
        <v>0</v>
      </c>
      <c r="F292" s="81">
        <v>0</v>
      </c>
      <c r="G292" s="81">
        <v>0</v>
      </c>
      <c r="H292" s="81">
        <v>0</v>
      </c>
      <c r="I292" s="81">
        <v>0</v>
      </c>
    </row>
    <row r="293" spans="1:9" ht="12.75">
      <c r="A293" t="s">
        <v>931</v>
      </c>
      <c r="B293" s="235" t="s">
        <v>519</v>
      </c>
      <c r="C293" s="81">
        <v>0</v>
      </c>
      <c r="D293" s="81">
        <v>0</v>
      </c>
      <c r="E293" s="81">
        <v>0</v>
      </c>
      <c r="F293" s="81">
        <v>0</v>
      </c>
      <c r="G293" s="81">
        <v>0</v>
      </c>
      <c r="H293" s="81">
        <v>0</v>
      </c>
      <c r="I293" s="81">
        <v>0</v>
      </c>
    </row>
    <row r="294" spans="1:9" ht="12.75">
      <c r="A294" t="s">
        <v>932</v>
      </c>
      <c r="B294" s="235" t="s">
        <v>623</v>
      </c>
      <c r="C294" s="81">
        <v>0</v>
      </c>
      <c r="D294" s="81">
        <v>1621338.01</v>
      </c>
      <c r="E294" s="81">
        <v>-1621338.01</v>
      </c>
      <c r="F294" s="81">
        <v>0</v>
      </c>
      <c r="G294" s="81">
        <v>1621338.01</v>
      </c>
      <c r="H294" s="81">
        <v>-1621338.01</v>
      </c>
      <c r="I294" s="81">
        <v>0</v>
      </c>
    </row>
    <row r="295" spans="1:9" ht="12.75">
      <c r="A295" t="s">
        <v>933</v>
      </c>
      <c r="B295" s="235" t="s">
        <v>624</v>
      </c>
      <c r="C295" s="81">
        <v>0</v>
      </c>
      <c r="D295" s="81">
        <v>3092.62</v>
      </c>
      <c r="E295" s="81">
        <v>-3092.62</v>
      </c>
      <c r="F295" s="81">
        <v>0</v>
      </c>
      <c r="G295" s="81">
        <v>3092.62</v>
      </c>
      <c r="H295" s="81">
        <v>-3092.62</v>
      </c>
      <c r="I295" s="81">
        <v>0</v>
      </c>
    </row>
    <row r="296" spans="1:9" ht="12.75">
      <c r="A296" t="s">
        <v>934</v>
      </c>
      <c r="B296" s="235" t="s">
        <v>625</v>
      </c>
      <c r="C296" s="81">
        <v>0</v>
      </c>
      <c r="D296" s="81">
        <v>0</v>
      </c>
      <c r="E296" s="81">
        <v>0</v>
      </c>
      <c r="F296" s="81">
        <v>0</v>
      </c>
      <c r="G296" s="81">
        <v>0</v>
      </c>
      <c r="H296" s="81">
        <v>0</v>
      </c>
      <c r="I296" s="81">
        <v>0</v>
      </c>
    </row>
    <row r="297" spans="1:9" ht="12.75">
      <c r="A297" t="s">
        <v>935</v>
      </c>
      <c r="B297" s="235" t="s">
        <v>626</v>
      </c>
      <c r="C297" s="81">
        <v>0</v>
      </c>
      <c r="D297" s="81">
        <v>1636.45</v>
      </c>
      <c r="E297" s="81">
        <v>-1636.45</v>
      </c>
      <c r="F297" s="81">
        <v>0</v>
      </c>
      <c r="G297" s="81">
        <v>1636.45</v>
      </c>
      <c r="H297" s="81">
        <v>-1636.45</v>
      </c>
      <c r="I297" s="81">
        <v>0</v>
      </c>
    </row>
    <row r="298" spans="1:9" ht="12.75">
      <c r="A298" t="s">
        <v>936</v>
      </c>
      <c r="B298" s="235" t="s">
        <v>627</v>
      </c>
      <c r="C298" s="81">
        <v>0</v>
      </c>
      <c r="D298" s="81">
        <v>0</v>
      </c>
      <c r="E298" s="81">
        <v>0</v>
      </c>
      <c r="F298" s="81">
        <v>0</v>
      </c>
      <c r="G298" s="81">
        <v>0</v>
      </c>
      <c r="H298" s="81">
        <v>0</v>
      </c>
      <c r="I298" s="81">
        <v>0</v>
      </c>
    </row>
    <row r="299" spans="1:9" ht="12.75">
      <c r="A299" t="s">
        <v>939</v>
      </c>
      <c r="B299" s="235" t="s">
        <v>628</v>
      </c>
      <c r="C299" s="81">
        <v>0</v>
      </c>
      <c r="D299" s="81">
        <v>0</v>
      </c>
      <c r="E299" s="81">
        <v>0</v>
      </c>
      <c r="F299" s="81">
        <v>0</v>
      </c>
      <c r="G299" s="81">
        <v>0</v>
      </c>
      <c r="H299" s="81">
        <v>0</v>
      </c>
      <c r="I299" s="81">
        <v>0</v>
      </c>
    </row>
    <row r="300" spans="1:9" ht="12.75">
      <c r="A300" t="s">
        <v>940</v>
      </c>
      <c r="B300" s="235" t="s">
        <v>629</v>
      </c>
      <c r="C300" s="81">
        <v>0</v>
      </c>
      <c r="D300" s="81">
        <v>0</v>
      </c>
      <c r="E300" s="81">
        <v>0</v>
      </c>
      <c r="F300" s="81">
        <v>0</v>
      </c>
      <c r="G300" s="81">
        <v>0</v>
      </c>
      <c r="H300" s="81">
        <v>0</v>
      </c>
      <c r="I300" s="81">
        <v>0</v>
      </c>
    </row>
    <row r="301" spans="1:9" ht="12.75">
      <c r="A301" t="s">
        <v>941</v>
      </c>
      <c r="B301" s="235" t="s">
        <v>630</v>
      </c>
      <c r="C301" s="81">
        <v>1570.89</v>
      </c>
      <c r="D301" s="81">
        <v>0</v>
      </c>
      <c r="E301" s="81">
        <v>1570.89</v>
      </c>
      <c r="F301" s="81">
        <v>1570.89</v>
      </c>
      <c r="G301" s="81">
        <v>0</v>
      </c>
      <c r="H301" s="81">
        <v>1570.89</v>
      </c>
      <c r="I301" s="81">
        <v>0</v>
      </c>
    </row>
    <row r="302" spans="1:9" ht="12.75">
      <c r="A302" t="s">
        <v>631</v>
      </c>
      <c r="B302" s="235" t="s">
        <v>634</v>
      </c>
      <c r="C302" s="81">
        <v>0</v>
      </c>
      <c r="D302" s="81">
        <v>74117.04</v>
      </c>
      <c r="E302" s="81">
        <v>-74117.04</v>
      </c>
      <c r="F302" s="81">
        <v>0</v>
      </c>
      <c r="G302" s="81">
        <v>74117.04</v>
      </c>
      <c r="H302" s="81">
        <v>-74117.04</v>
      </c>
      <c r="I302" s="81">
        <v>0</v>
      </c>
    </row>
    <row r="303" spans="1:9" ht="12.75">
      <c r="A303" t="s">
        <v>942</v>
      </c>
      <c r="B303" s="235" t="s">
        <v>640</v>
      </c>
      <c r="C303" s="81">
        <v>13135.9</v>
      </c>
      <c r="D303" s="81">
        <v>34708.78</v>
      </c>
      <c r="E303" s="81">
        <v>-21572.88</v>
      </c>
      <c r="F303" s="81">
        <v>13135.9</v>
      </c>
      <c r="G303" s="81">
        <v>34708.78</v>
      </c>
      <c r="H303" s="81">
        <v>-21572.88</v>
      </c>
      <c r="I303" s="81">
        <v>0</v>
      </c>
    </row>
    <row r="304" spans="1:9" ht="12.75">
      <c r="A304" t="s">
        <v>943</v>
      </c>
      <c r="B304" s="235" t="s">
        <v>641</v>
      </c>
      <c r="C304" s="81">
        <v>0</v>
      </c>
      <c r="D304" s="81">
        <v>0</v>
      </c>
      <c r="E304" s="81">
        <v>0</v>
      </c>
      <c r="F304" s="81">
        <v>0</v>
      </c>
      <c r="G304" s="81">
        <v>0</v>
      </c>
      <c r="H304" s="81">
        <v>0</v>
      </c>
      <c r="I304" s="81">
        <v>0</v>
      </c>
    </row>
    <row r="305" spans="1:9" ht="12.75">
      <c r="A305" t="s">
        <v>104</v>
      </c>
      <c r="B305" s="236" t="s">
        <v>898</v>
      </c>
      <c r="C305" s="237">
        <v>398493.26</v>
      </c>
      <c r="D305" s="237">
        <v>6127547.46</v>
      </c>
      <c r="E305" s="237">
        <v>-5729054.2</v>
      </c>
      <c r="F305" s="237">
        <v>398493.26</v>
      </c>
      <c r="G305" s="237">
        <v>6127547.46</v>
      </c>
      <c r="H305" s="237">
        <v>-5729054.2</v>
      </c>
      <c r="I305" s="237">
        <v>0</v>
      </c>
    </row>
    <row r="307" spans="1:9" ht="12.75">
      <c r="A307" t="s">
        <v>944</v>
      </c>
      <c r="B307" s="235" t="s">
        <v>945</v>
      </c>
      <c r="C307" s="81">
        <v>0</v>
      </c>
      <c r="D307" s="81">
        <v>0</v>
      </c>
      <c r="E307" s="81">
        <v>0</v>
      </c>
      <c r="F307" s="81">
        <v>0</v>
      </c>
      <c r="G307" s="81">
        <v>0</v>
      </c>
      <c r="H307" s="81">
        <v>0</v>
      </c>
      <c r="I307" s="81">
        <v>0</v>
      </c>
    </row>
    <row r="308" spans="1:9" ht="12.75">
      <c r="A308" t="s">
        <v>946</v>
      </c>
      <c r="B308" s="235" t="s">
        <v>947</v>
      </c>
      <c r="C308" s="81">
        <v>0</v>
      </c>
      <c r="D308" s="81">
        <v>0</v>
      </c>
      <c r="E308" s="81">
        <v>0</v>
      </c>
      <c r="F308" s="81">
        <v>0</v>
      </c>
      <c r="G308" s="81">
        <v>0</v>
      </c>
      <c r="H308" s="81">
        <v>0</v>
      </c>
      <c r="I308" s="81">
        <v>0</v>
      </c>
    </row>
    <row r="309" spans="1:9" ht="12.75">
      <c r="A309" t="s">
        <v>948</v>
      </c>
      <c r="B309" s="236" t="s">
        <v>945</v>
      </c>
      <c r="C309" s="237">
        <v>0</v>
      </c>
      <c r="D309" s="237">
        <v>0</v>
      </c>
      <c r="E309" s="237">
        <v>0</v>
      </c>
      <c r="F309" s="237">
        <v>0</v>
      </c>
      <c r="G309" s="237">
        <v>0</v>
      </c>
      <c r="H309" s="237">
        <v>0</v>
      </c>
      <c r="I309" s="237">
        <v>0</v>
      </c>
    </row>
    <row r="311" spans="1:9" ht="12.75">
      <c r="A311" t="s">
        <v>949</v>
      </c>
      <c r="B311" s="235" t="s">
        <v>950</v>
      </c>
      <c r="C311" s="81">
        <v>0</v>
      </c>
      <c r="D311" s="81">
        <v>0</v>
      </c>
      <c r="E311" s="81">
        <v>0</v>
      </c>
      <c r="F311" s="81">
        <v>0</v>
      </c>
      <c r="G311" s="81">
        <v>0</v>
      </c>
      <c r="H311" s="81">
        <v>0</v>
      </c>
      <c r="I311" s="81">
        <v>0</v>
      </c>
    </row>
    <row r="312" spans="1:9" ht="12.75">
      <c r="A312" t="s">
        <v>951</v>
      </c>
      <c r="B312" s="235" t="s">
        <v>952</v>
      </c>
      <c r="C312" s="81">
        <v>0</v>
      </c>
      <c r="D312" s="81">
        <v>0</v>
      </c>
      <c r="E312" s="81">
        <v>0</v>
      </c>
      <c r="F312" s="81">
        <v>0</v>
      </c>
      <c r="G312" s="81">
        <v>0</v>
      </c>
      <c r="H312" s="81">
        <v>0</v>
      </c>
      <c r="I312" s="81">
        <v>0</v>
      </c>
    </row>
    <row r="313" spans="1:9" ht="12.75">
      <c r="A313" t="s">
        <v>953</v>
      </c>
      <c r="B313" s="236" t="s">
        <v>950</v>
      </c>
      <c r="C313" s="237">
        <v>0</v>
      </c>
      <c r="D313" s="237">
        <v>0</v>
      </c>
      <c r="E313" s="237">
        <v>0</v>
      </c>
      <c r="F313" s="237">
        <v>0</v>
      </c>
      <c r="G313" s="237">
        <v>0</v>
      </c>
      <c r="H313" s="237">
        <v>0</v>
      </c>
      <c r="I313" s="237">
        <v>0</v>
      </c>
    </row>
    <row r="315" spans="2:9" ht="12.75">
      <c r="B315" s="238" t="s">
        <v>954</v>
      </c>
      <c r="C315" s="239">
        <v>9400024.7</v>
      </c>
      <c r="D315" s="239">
        <v>9400024.7</v>
      </c>
      <c r="E315" s="239">
        <v>0</v>
      </c>
      <c r="F315" s="239">
        <v>9400024.7</v>
      </c>
      <c r="G315" s="239">
        <v>9400024.7</v>
      </c>
      <c r="H315" s="239">
        <v>0</v>
      </c>
      <c r="I315" s="239">
        <v>0</v>
      </c>
    </row>
    <row r="316" spans="3:9" ht="13.5" thickBot="1">
      <c r="C316" s="48"/>
      <c r="D316" s="48"/>
      <c r="E316" s="48"/>
      <c r="F316" s="48"/>
      <c r="G316" s="48"/>
      <c r="H316" s="48"/>
      <c r="I316" s="48"/>
    </row>
    <row r="317" spans="2:9" ht="13.5" thickBot="1">
      <c r="B317" s="240" t="s">
        <v>955</v>
      </c>
      <c r="C317" s="241">
        <v>636227752.35</v>
      </c>
      <c r="D317" s="241">
        <v>636227752.35</v>
      </c>
      <c r="E317" s="241">
        <v>0</v>
      </c>
      <c r="F317" s="241">
        <v>636227752.35</v>
      </c>
      <c r="G317" s="241">
        <v>636227752.35</v>
      </c>
      <c r="H317" s="241">
        <v>0</v>
      </c>
      <c r="I317" s="241"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/>
  <dimension ref="A7:K115"/>
  <sheetViews>
    <sheetView workbookViewId="0" topLeftCell="A40">
      <selection activeCell="E65" sqref="E65"/>
    </sheetView>
  </sheetViews>
  <sheetFormatPr defaultColWidth="11.421875" defaultRowHeight="12.75"/>
  <cols>
    <col min="1" max="1" width="28.421875" style="4" customWidth="1"/>
    <col min="2" max="2" width="18.00390625" style="4" customWidth="1"/>
    <col min="3" max="3" width="15.421875" style="4" customWidth="1"/>
    <col min="4" max="4" width="19.7109375" style="4" customWidth="1"/>
    <col min="5" max="5" width="18.7109375" style="4" customWidth="1"/>
    <col min="6" max="6" width="15.28125" style="4" customWidth="1"/>
    <col min="7" max="7" width="5.7109375" style="4" customWidth="1"/>
    <col min="8" max="8" width="20.00390625" style="4" customWidth="1"/>
    <col min="9" max="9" width="3.00390625" style="4" bestFit="1" customWidth="1"/>
    <col min="10" max="10" width="4.00390625" style="4" bestFit="1" customWidth="1"/>
    <col min="11" max="16384" width="20.00390625" style="4" customWidth="1"/>
  </cols>
  <sheetData>
    <row r="7" spans="1:5" ht="12">
      <c r="A7" s="3" t="s">
        <v>1153</v>
      </c>
      <c r="B7" s="3"/>
      <c r="C7" s="5" t="str">
        <f>'CNMV ESP'!C8</f>
        <v>EMPRESAS BANESTO 1 FONDO DE TITULIZACIÓN DE ACTIVOS</v>
      </c>
      <c r="D7" s="6"/>
      <c r="E7" s="6"/>
    </row>
    <row r="9" spans="2:6" ht="12">
      <c r="B9" s="3"/>
      <c r="C9" s="3"/>
      <c r="D9" s="3"/>
      <c r="E9" s="3"/>
      <c r="F9" s="3"/>
    </row>
    <row r="10" spans="1:6" ht="12">
      <c r="A10" s="3" t="s">
        <v>1154</v>
      </c>
      <c r="B10" s="1029" t="s">
        <v>1155</v>
      </c>
      <c r="C10" s="1030"/>
      <c r="D10" s="89" t="str">
        <f>TEXT(Español!G15,"mm dd aaaa")&amp;" - "&amp;TEXT(Español!G14,"mm dd aaaa")</f>
        <v>03 22 2010 - 06 21 2010</v>
      </c>
      <c r="E10" s="445" t="s">
        <v>1156</v>
      </c>
      <c r="F10" s="90">
        <f>'CNMV ESP'!F11</f>
        <v>2010</v>
      </c>
    </row>
    <row r="11" spans="1:6" ht="12">
      <c r="A11" s="3"/>
      <c r="B11" s="3"/>
      <c r="C11" s="3"/>
      <c r="D11" s="3"/>
      <c r="E11" s="3"/>
      <c r="F11" s="3"/>
    </row>
    <row r="12" spans="1:6" ht="12">
      <c r="A12" s="3"/>
      <c r="B12" s="3"/>
      <c r="C12" s="3"/>
      <c r="D12" s="3"/>
      <c r="E12" s="3"/>
      <c r="F12" s="3"/>
    </row>
    <row r="13" spans="1:6" ht="12">
      <c r="A13" s="3"/>
      <c r="B13" s="3"/>
      <c r="C13" s="3"/>
      <c r="D13" s="3"/>
      <c r="E13" s="3"/>
      <c r="F13" s="3"/>
    </row>
    <row r="14" spans="1:11" ht="12">
      <c r="A14" s="3"/>
      <c r="B14" s="3"/>
      <c r="C14" s="3"/>
      <c r="D14" s="3"/>
      <c r="E14" s="3"/>
      <c r="F14" s="3"/>
      <c r="I14" s="13">
        <v>1</v>
      </c>
      <c r="J14" s="14" t="s">
        <v>774</v>
      </c>
      <c r="K14" s="15" t="s">
        <v>761</v>
      </c>
    </row>
    <row r="15" spans="1:11" ht="12">
      <c r="A15" s="3"/>
      <c r="B15" s="3"/>
      <c r="C15" s="3"/>
      <c r="D15" s="3"/>
      <c r="E15" s="3"/>
      <c r="F15" s="3"/>
      <c r="I15" s="24">
        <f aca="true" t="shared" si="0" ref="I15:I44">1+I14</f>
        <v>2</v>
      </c>
      <c r="J15" s="36" t="s">
        <v>1157</v>
      </c>
      <c r="K15" s="25" t="s">
        <v>762</v>
      </c>
    </row>
    <row r="16" spans="1:11" ht="12">
      <c r="A16" s="3"/>
      <c r="B16" s="3"/>
      <c r="C16" s="3"/>
      <c r="D16" s="3"/>
      <c r="E16" s="3"/>
      <c r="F16" s="3"/>
      <c r="I16" s="24">
        <f t="shared" si="0"/>
        <v>3</v>
      </c>
      <c r="J16" s="36" t="s">
        <v>775</v>
      </c>
      <c r="K16" s="25" t="s">
        <v>763</v>
      </c>
    </row>
    <row r="17" spans="1:11" ht="12">
      <c r="A17" s="3"/>
      <c r="B17" s="3"/>
      <c r="C17" s="3"/>
      <c r="D17" s="3"/>
      <c r="E17" s="3"/>
      <c r="F17" s="3"/>
      <c r="I17" s="24">
        <f t="shared" si="0"/>
        <v>4</v>
      </c>
      <c r="J17" s="36" t="s">
        <v>775</v>
      </c>
      <c r="K17" s="25" t="s">
        <v>764</v>
      </c>
    </row>
    <row r="18" spans="9:11" ht="11.25">
      <c r="I18" s="24">
        <f t="shared" si="0"/>
        <v>5</v>
      </c>
      <c r="J18" s="36" t="s">
        <v>775</v>
      </c>
      <c r="K18" s="25" t="s">
        <v>765</v>
      </c>
    </row>
    <row r="19" spans="1:11" s="39" customFormat="1" ht="13.5">
      <c r="A19" s="38" t="s">
        <v>1158</v>
      </c>
      <c r="I19" s="24">
        <f t="shared" si="0"/>
        <v>6</v>
      </c>
      <c r="J19" s="36" t="s">
        <v>775</v>
      </c>
      <c r="K19" s="25" t="s">
        <v>766</v>
      </c>
    </row>
    <row r="20" spans="9:11" ht="11.25">
      <c r="I20" s="24">
        <f t="shared" si="0"/>
        <v>7</v>
      </c>
      <c r="J20" s="36" t="s">
        <v>775</v>
      </c>
      <c r="K20" s="25" t="s">
        <v>767</v>
      </c>
    </row>
    <row r="21" spans="8:11" ht="11.25">
      <c r="H21" s="76"/>
      <c r="I21" s="24">
        <f t="shared" si="0"/>
        <v>8</v>
      </c>
      <c r="J21" s="36" t="s">
        <v>775</v>
      </c>
      <c r="K21" s="25" t="s">
        <v>768</v>
      </c>
    </row>
    <row r="22" spans="1:11" ht="11.25">
      <c r="A22" s="1009" t="s">
        <v>1159</v>
      </c>
      <c r="B22" s="999" t="str">
        <f>VLOOKUP(MONTH('CNMV ESP'!B23),conversion,3,FALSE)&amp;" "&amp;DAY('CNMV ESP'!B23)&amp;VLOOKUP(DAY('CNMV ESP'!B23),conversion,2,FALSE)&amp;", "&amp;YEAR('CNMV ESP'!B23)</f>
        <v>October 5th, 2007</v>
      </c>
      <c r="C22" s="1000"/>
      <c r="D22" s="1009" t="s">
        <v>1160</v>
      </c>
      <c r="E22" s="1011" t="s">
        <v>84</v>
      </c>
      <c r="F22" s="1012"/>
      <c r="H22" s="76"/>
      <c r="I22" s="24">
        <f t="shared" si="0"/>
        <v>9</v>
      </c>
      <c r="J22" s="36" t="s">
        <v>775</v>
      </c>
      <c r="K22" s="25" t="s">
        <v>769</v>
      </c>
    </row>
    <row r="23" spans="1:11" ht="11.25">
      <c r="A23" s="1010"/>
      <c r="B23" s="24"/>
      <c r="C23" s="25"/>
      <c r="D23" s="1010"/>
      <c r="E23" s="1013"/>
      <c r="F23" s="1014"/>
      <c r="H23" s="76"/>
      <c r="I23" s="24">
        <f t="shared" si="0"/>
        <v>10</v>
      </c>
      <c r="J23" s="36" t="s">
        <v>775</v>
      </c>
      <c r="K23" s="25" t="s">
        <v>770</v>
      </c>
    </row>
    <row r="24" spans="1:11" ht="12">
      <c r="A24" s="7" t="s">
        <v>1161</v>
      </c>
      <c r="B24" s="999" t="str">
        <f>VLOOKUP(MONTH('CNMV ESP'!B25),conversion,3,FALSE)&amp;" "&amp;DAY('CNMV ESP'!B25)&amp;VLOOKUP(DAY('CNMV ESP'!B25),conversion,2,FALSE)&amp;", "&amp;YEAR('CNMV ESP'!B25)</f>
        <v>October 9th, 2007</v>
      </c>
      <c r="C24" s="1000"/>
      <c r="D24" s="37" t="s">
        <v>1162</v>
      </c>
      <c r="E24" s="23" t="s">
        <v>1261</v>
      </c>
      <c r="F24" s="6"/>
      <c r="H24" s="76"/>
      <c r="I24" s="24">
        <f t="shared" si="0"/>
        <v>11</v>
      </c>
      <c r="J24" s="36" t="s">
        <v>775</v>
      </c>
      <c r="K24" s="25" t="s">
        <v>771</v>
      </c>
    </row>
    <row r="25" spans="1:11" ht="11.25">
      <c r="A25" s="1009" t="s">
        <v>1163</v>
      </c>
      <c r="B25" s="999" t="str">
        <f>VLOOKUP(MONTH('CNMV ESP'!B26),conversion,3,FALSE)&amp;" "&amp;DAY('CNMV ESP'!B26)&amp;VLOOKUP(DAY('CNMV ESP'!B26),conversion,2,FALSE)&amp;", "&amp;YEAR('CNMV ESP'!B26)</f>
        <v>September 20th, 2040</v>
      </c>
      <c r="C25" s="1000"/>
      <c r="D25" s="1009" t="s">
        <v>1164</v>
      </c>
      <c r="E25" s="1001" t="s">
        <v>1506</v>
      </c>
      <c r="F25" s="15"/>
      <c r="H25" s="76"/>
      <c r="I25" s="24">
        <f t="shared" si="0"/>
        <v>12</v>
      </c>
      <c r="J25" s="36" t="s">
        <v>775</v>
      </c>
      <c r="K25" s="18" t="s">
        <v>773</v>
      </c>
    </row>
    <row r="26" spans="1:10" ht="11.25">
      <c r="A26" s="1010"/>
      <c r="B26" s="16"/>
      <c r="C26" s="18"/>
      <c r="D26" s="1010"/>
      <c r="E26" s="1002"/>
      <c r="F26" s="18"/>
      <c r="I26" s="24">
        <f t="shared" si="0"/>
        <v>13</v>
      </c>
      <c r="J26" s="25" t="s">
        <v>775</v>
      </c>
    </row>
    <row r="27" spans="1:10" ht="12">
      <c r="A27" s="10" t="s">
        <v>1165</v>
      </c>
      <c r="B27" s="32" t="s">
        <v>7</v>
      </c>
      <c r="C27" s="18"/>
      <c r="D27" s="5" t="s">
        <v>1166</v>
      </c>
      <c r="E27" s="90" t="s">
        <v>1167</v>
      </c>
      <c r="F27" s="102" t="s">
        <v>1168</v>
      </c>
      <c r="I27" s="24">
        <f t="shared" si="0"/>
        <v>14</v>
      </c>
      <c r="J27" s="25" t="s">
        <v>775</v>
      </c>
    </row>
    <row r="28" spans="1:10" ht="12">
      <c r="A28" s="5" t="s">
        <v>1169</v>
      </c>
      <c r="B28" s="1035" t="s">
        <v>84</v>
      </c>
      <c r="C28" s="1036"/>
      <c r="D28" s="5" t="s">
        <v>793</v>
      </c>
      <c r="E28" s="27" t="str">
        <f>'CNMV ESP'!E29</f>
        <v>AAA</v>
      </c>
      <c r="F28" s="27" t="str">
        <f>'CNMV ESP'!F29</f>
        <v>AAA</v>
      </c>
      <c r="I28" s="24">
        <f t="shared" si="0"/>
        <v>15</v>
      </c>
      <c r="J28" s="25" t="s">
        <v>775</v>
      </c>
    </row>
    <row r="29" spans="1:10" ht="12">
      <c r="A29" s="29"/>
      <c r="B29" s="97"/>
      <c r="C29" s="25"/>
      <c r="D29" s="5" t="s">
        <v>794</v>
      </c>
      <c r="E29" s="27" t="str">
        <f>'CNMV ESP'!E30</f>
        <v>AAA</v>
      </c>
      <c r="F29" s="27" t="str">
        <f>'CNMV ESP'!F30</f>
        <v>AAA</v>
      </c>
      <c r="I29" s="24">
        <f t="shared" si="0"/>
        <v>16</v>
      </c>
      <c r="J29" s="25" t="s">
        <v>775</v>
      </c>
    </row>
    <row r="30" spans="1:10" ht="12">
      <c r="A30" s="29"/>
      <c r="B30" s="98"/>
      <c r="C30" s="25"/>
      <c r="D30" s="5" t="s">
        <v>795</v>
      </c>
      <c r="E30" s="27" t="str">
        <f>'CNMV ESP'!E31</f>
        <v>A</v>
      </c>
      <c r="F30" s="27" t="str">
        <f>'CNMV ESP'!F31</f>
        <v>A</v>
      </c>
      <c r="I30" s="24">
        <f t="shared" si="0"/>
        <v>17</v>
      </c>
      <c r="J30" s="25" t="s">
        <v>775</v>
      </c>
    </row>
    <row r="31" spans="1:10" ht="12">
      <c r="A31" s="29"/>
      <c r="B31" s="98"/>
      <c r="C31" s="36"/>
      <c r="D31" s="5" t="s">
        <v>796</v>
      </c>
      <c r="E31" s="27" t="str">
        <f>'CNMV ESP'!E32</f>
        <v>BBB-</v>
      </c>
      <c r="F31" s="27" t="str">
        <f>'CNMV ESP'!F32</f>
        <v>BBB-</v>
      </c>
      <c r="I31" s="24">
        <f t="shared" si="0"/>
        <v>18</v>
      </c>
      <c r="J31" s="25" t="s">
        <v>775</v>
      </c>
    </row>
    <row r="32" spans="1:10" ht="12">
      <c r="A32" s="29"/>
      <c r="B32" s="98"/>
      <c r="C32" s="36"/>
      <c r="D32" s="5" t="s">
        <v>802</v>
      </c>
      <c r="E32" s="27" t="str">
        <f>'CNMV ESP'!E33</f>
        <v>BB-</v>
      </c>
      <c r="F32" s="27" t="str">
        <f>'CNMV ESP'!F33</f>
        <v>B</v>
      </c>
      <c r="I32" s="24">
        <f t="shared" si="0"/>
        <v>19</v>
      </c>
      <c r="J32" s="25" t="s">
        <v>775</v>
      </c>
    </row>
    <row r="33" spans="9:10" ht="11.25">
      <c r="I33" s="24">
        <f t="shared" si="0"/>
        <v>20</v>
      </c>
      <c r="J33" s="25" t="s">
        <v>775</v>
      </c>
    </row>
    <row r="34" spans="1:10" s="39" customFormat="1" ht="13.5">
      <c r="A34" s="38"/>
      <c r="B34" s="38"/>
      <c r="C34" s="38"/>
      <c r="D34" s="38"/>
      <c r="E34" s="38"/>
      <c r="F34" s="38"/>
      <c r="I34" s="24">
        <f t="shared" si="0"/>
        <v>21</v>
      </c>
      <c r="J34" s="25" t="s">
        <v>775</v>
      </c>
    </row>
    <row r="35" spans="1:10" s="39" customFormat="1" ht="13.5">
      <c r="A35" s="38"/>
      <c r="I35" s="24">
        <f t="shared" si="0"/>
        <v>22</v>
      </c>
      <c r="J35" s="25" t="s">
        <v>775</v>
      </c>
    </row>
    <row r="36" spans="1:10" ht="13.5">
      <c r="A36" s="38" t="s">
        <v>1170</v>
      </c>
      <c r="I36" s="24">
        <f t="shared" si="0"/>
        <v>23</v>
      </c>
      <c r="J36" s="25" t="s">
        <v>775</v>
      </c>
    </row>
    <row r="37" spans="9:10" ht="11.25">
      <c r="I37" s="24">
        <f t="shared" si="0"/>
        <v>24</v>
      </c>
      <c r="J37" s="25" t="s">
        <v>775</v>
      </c>
    </row>
    <row r="38" spans="9:10" ht="11.25">
      <c r="I38" s="24">
        <f t="shared" si="0"/>
        <v>25</v>
      </c>
      <c r="J38" s="25" t="s">
        <v>775</v>
      </c>
    </row>
    <row r="39" spans="1:10" ht="12">
      <c r="A39" s="1015" t="s">
        <v>1171</v>
      </c>
      <c r="B39" s="1018" t="s">
        <v>1172</v>
      </c>
      <c r="C39" s="8"/>
      <c r="D39" s="8"/>
      <c r="E39" s="8"/>
      <c r="F39" s="15"/>
      <c r="I39" s="24">
        <f t="shared" si="0"/>
        <v>26</v>
      </c>
      <c r="J39" s="25" t="s">
        <v>775</v>
      </c>
    </row>
    <row r="40" spans="1:10" ht="12.75" customHeight="1">
      <c r="A40" s="1016"/>
      <c r="B40" s="1019"/>
      <c r="C40" s="1032" t="s">
        <v>1173</v>
      </c>
      <c r="D40" s="1033"/>
      <c r="E40" s="1033"/>
      <c r="F40" s="1030"/>
      <c r="I40" s="24">
        <f t="shared" si="0"/>
        <v>27</v>
      </c>
      <c r="J40" s="25" t="s">
        <v>775</v>
      </c>
    </row>
    <row r="41" spans="1:10" ht="12">
      <c r="A41" s="1016"/>
      <c r="B41" s="1019"/>
      <c r="C41" s="11"/>
      <c r="D41" s="11"/>
      <c r="E41" s="11"/>
      <c r="F41" s="18"/>
      <c r="I41" s="24">
        <f t="shared" si="0"/>
        <v>28</v>
      </c>
      <c r="J41" s="25" t="s">
        <v>775</v>
      </c>
    </row>
    <row r="42" spans="1:10" ht="11.25">
      <c r="A42" s="1016"/>
      <c r="B42" s="1019"/>
      <c r="C42" s="31"/>
      <c r="D42" s="1034" t="s">
        <v>1174</v>
      </c>
      <c r="E42" s="1034" t="s">
        <v>1175</v>
      </c>
      <c r="F42" s="1034" t="s">
        <v>1176</v>
      </c>
      <c r="I42" s="24">
        <f t="shared" si="0"/>
        <v>29</v>
      </c>
      <c r="J42" s="25" t="s">
        <v>775</v>
      </c>
    </row>
    <row r="43" spans="1:10" ht="11.25">
      <c r="A43" s="1017"/>
      <c r="B43" s="1019"/>
      <c r="C43" s="32"/>
      <c r="D43" s="1017"/>
      <c r="E43" s="1017"/>
      <c r="F43" s="1017"/>
      <c r="I43" s="24">
        <f t="shared" si="0"/>
        <v>30</v>
      </c>
      <c r="J43" s="25" t="s">
        <v>775</v>
      </c>
    </row>
    <row r="44" spans="1:10" ht="12">
      <c r="A44" s="31" t="s">
        <v>793</v>
      </c>
      <c r="B44" s="1031">
        <f>IF('CNMV ESP'!B45="","",'CNMV ESP'!B45)</f>
        <v>10600</v>
      </c>
      <c r="C44" s="5" t="s">
        <v>1177</v>
      </c>
      <c r="D44" s="91">
        <f>IF('CNMV ESP'!D45="","",'CNMV ESP'!D45)</f>
        <v>100000</v>
      </c>
      <c r="E44" s="91">
        <f>IF('CNMV ESP'!E45="","",'CNMV ESP'!E45)</f>
        <v>0</v>
      </c>
      <c r="F44" s="1007">
        <f>IF('CNMV ESP'!F45="","",'CNMV ESP'!F45)</f>
        <v>0</v>
      </c>
      <c r="H44" s="56"/>
      <c r="I44" s="16">
        <f t="shared" si="0"/>
        <v>31</v>
      </c>
      <c r="J44" s="18" t="s">
        <v>774</v>
      </c>
    </row>
    <row r="45" spans="1:8" ht="12">
      <c r="A45" s="32" t="str">
        <f>IF('CNMV ESP'!A46="","",'CNMV ESP'!A46)</f>
        <v>ES0330866007</v>
      </c>
      <c r="B45" s="1017">
        <f>IF('CNMV ESP'!B46="","",'CNMV ESP'!B46)</f>
      </c>
      <c r="C45" s="5" t="s">
        <v>1178</v>
      </c>
      <c r="D45" s="91">
        <f>IF('CNMV ESP'!D46="","",'CNMV ESP'!D46)</f>
        <v>1060000000</v>
      </c>
      <c r="E45" s="91">
        <f>IF('CNMV ESP'!E46="","",'CNMV ESP'!E46)</f>
        <v>0</v>
      </c>
      <c r="F45" s="1008">
        <f>IF('CNMV ESP'!F46="","",'CNMV ESP'!F46)</f>
      </c>
      <c r="H45" s="56"/>
    </row>
    <row r="46" spans="1:6" ht="12">
      <c r="A46" s="31" t="s">
        <v>794</v>
      </c>
      <c r="B46" s="1031">
        <f>IF('CNMV ESP'!B47="","",'CNMV ESP'!B47)</f>
        <v>8000</v>
      </c>
      <c r="C46" s="5" t="s">
        <v>1177</v>
      </c>
      <c r="D46" s="91">
        <f>IF('CNMV ESP'!D47="","",'CNMV ESP'!D47)</f>
        <v>100000</v>
      </c>
      <c r="E46" s="91">
        <f>IF('CNMV ESP'!E47="","",'CNMV ESP'!E47)</f>
        <v>51667.23</v>
      </c>
      <c r="F46" s="1007">
        <f>IF('CNMV ESP'!F47="","",'CNMV ESP'!F47)</f>
        <v>0.5166723</v>
      </c>
    </row>
    <row r="47" spans="1:6" ht="12">
      <c r="A47" s="32" t="str">
        <f>IF('CNMV ESP'!A48="","",'CNMV ESP'!A48)</f>
        <v>ES0330866015</v>
      </c>
      <c r="B47" s="1017">
        <f>IF('CNMV ESP'!B48="","",'CNMV ESP'!B48)</f>
      </c>
      <c r="C47" s="5" t="s">
        <v>1178</v>
      </c>
      <c r="D47" s="91">
        <f>IF('CNMV ESP'!D48="","",'CNMV ESP'!D48)</f>
        <v>800000000</v>
      </c>
      <c r="E47" s="91">
        <f>IF('CNMV ESP'!E48="","",'CNMV ESP'!E48)</f>
        <v>413337840</v>
      </c>
      <c r="F47" s="1008">
        <f>IF('CNMV ESP'!F48="","",'CNMV ESP'!F48)</f>
      </c>
    </row>
    <row r="48" spans="1:6" ht="12">
      <c r="A48" s="31" t="s">
        <v>795</v>
      </c>
      <c r="B48" s="1031">
        <f>IF('CNMV ESP'!B49="","",'CNMV ESP'!B49)</f>
        <v>700</v>
      </c>
      <c r="C48" s="5" t="s">
        <v>1177</v>
      </c>
      <c r="D48" s="91">
        <f>IF('CNMV ESP'!D49="","",'CNMV ESP'!D49)</f>
        <v>100000</v>
      </c>
      <c r="E48" s="91">
        <f>IF('CNMV ESP'!E49="","",'CNMV ESP'!E49)</f>
        <v>100000</v>
      </c>
      <c r="F48" s="1007">
        <f>IF('CNMV ESP'!F49="","",'CNMV ESP'!F49)</f>
        <v>1</v>
      </c>
    </row>
    <row r="49" spans="1:8" ht="12">
      <c r="A49" s="32" t="str">
        <f>IF('CNMV ESP'!A50="","",'CNMV ESP'!A50)</f>
        <v>ES0330866023</v>
      </c>
      <c r="B49" s="1017">
        <f>IF('CNMV ESP'!B50="","",'CNMV ESP'!B50)</f>
      </c>
      <c r="C49" s="5" t="s">
        <v>1178</v>
      </c>
      <c r="D49" s="91">
        <f>IF('CNMV ESP'!D50="","",'CNMV ESP'!D50)</f>
        <v>70000000</v>
      </c>
      <c r="E49" s="91">
        <f>IF('CNMV ESP'!E50="","",'CNMV ESP'!E50)</f>
        <v>70000000</v>
      </c>
      <c r="F49" s="1008">
        <f>IF('CNMV ESP'!F50="","",'CNMV ESP'!F50)</f>
      </c>
      <c r="H49" s="56"/>
    </row>
    <row r="50" spans="1:6" ht="12">
      <c r="A50" s="31" t="s">
        <v>796</v>
      </c>
      <c r="B50" s="1031">
        <f>IF('CNMV ESP'!B51="","",'CNMV ESP'!B51)</f>
        <v>350</v>
      </c>
      <c r="C50" s="5" t="s">
        <v>1177</v>
      </c>
      <c r="D50" s="91">
        <f>IF('CNMV ESP'!D51="","",'CNMV ESP'!D51)</f>
        <v>100000</v>
      </c>
      <c r="E50" s="91">
        <f>IF('CNMV ESP'!E51="","",'CNMV ESP'!E51)</f>
        <v>100000</v>
      </c>
      <c r="F50" s="1007">
        <f>IF('CNMV ESP'!F51="","",'CNMV ESP'!F51)</f>
        <v>1</v>
      </c>
    </row>
    <row r="51" spans="1:6" ht="12">
      <c r="A51" s="32" t="str">
        <f>IF('CNMV ESP'!A52="","",'CNMV ESP'!A52)</f>
        <v>ES0330866031</v>
      </c>
      <c r="B51" s="1017">
        <f>IF('CNMV ESP'!B52="","",'CNMV ESP'!B52)</f>
      </c>
      <c r="C51" s="5" t="s">
        <v>1178</v>
      </c>
      <c r="D51" s="91">
        <f>IF('CNMV ESP'!D52="","",'CNMV ESP'!D52)</f>
        <v>35000000</v>
      </c>
      <c r="E51" s="91">
        <f>IF('CNMV ESP'!E52="","",'CNMV ESP'!E52)</f>
        <v>35000000</v>
      </c>
      <c r="F51" s="1008">
        <f>IF('CNMV ESP'!F52="","",'CNMV ESP'!F52)</f>
      </c>
    </row>
    <row r="52" spans="1:6" ht="12">
      <c r="A52" s="31" t="s">
        <v>802</v>
      </c>
      <c r="B52" s="1031">
        <f>IF('CNMV ESP'!B53="","",'CNMV ESP'!B53)</f>
        <v>350</v>
      </c>
      <c r="C52" s="5" t="s">
        <v>1177</v>
      </c>
      <c r="D52" s="91">
        <f>IF('CNMV ESP'!D53="","",'CNMV ESP'!D53)</f>
        <v>100000</v>
      </c>
      <c r="E52" s="91">
        <f>IF('CNMV ESP'!E53="","",'CNMV ESP'!E53)</f>
        <v>100000</v>
      </c>
      <c r="F52" s="1007">
        <f>IF('CNMV ESP'!F53="","",'CNMV ESP'!F53)</f>
        <v>1</v>
      </c>
    </row>
    <row r="53" spans="1:8" ht="12">
      <c r="A53" s="32" t="str">
        <f>IF('CNMV ESP'!A54="","",'CNMV ESP'!A54)</f>
        <v>ES0330866049</v>
      </c>
      <c r="B53" s="1017">
        <f>IF('CNMV ESP'!B54="","",'CNMV ESP'!B54)</f>
      </c>
      <c r="C53" s="5" t="s">
        <v>1178</v>
      </c>
      <c r="D53" s="91">
        <f>IF('CNMV ESP'!D54="","",'CNMV ESP'!D54)</f>
        <v>35000000</v>
      </c>
      <c r="E53" s="91">
        <f>IF('CNMV ESP'!E54="","",'CNMV ESP'!E54)</f>
        <v>35000000</v>
      </c>
      <c r="F53" s="1008">
        <f>IF('CNMV ESP'!F54="","",'CNMV ESP'!F54)</f>
      </c>
      <c r="H53" s="100"/>
    </row>
    <row r="54" spans="4:5" ht="11.25">
      <c r="D54" s="57"/>
      <c r="E54" s="56"/>
    </row>
    <row r="55" spans="4:5" ht="11.25">
      <c r="D55" s="57"/>
      <c r="E55" s="56"/>
    </row>
    <row r="56" spans="4:5" ht="11.25">
      <c r="D56" s="57"/>
      <c r="E56" s="56"/>
    </row>
    <row r="58" spans="1:7" ht="12.75" customHeight="1">
      <c r="A58" s="993" t="s">
        <v>1179</v>
      </c>
      <c r="B58" s="994"/>
      <c r="C58" s="994"/>
      <c r="D58" s="994"/>
      <c r="E58" s="994"/>
      <c r="F58" s="994"/>
      <c r="G58" s="995"/>
    </row>
    <row r="59" spans="1:7" ht="12.75" customHeight="1">
      <c r="A59" s="1020" t="s">
        <v>1168</v>
      </c>
      <c r="B59" s="1021"/>
      <c r="C59" s="1022"/>
      <c r="D59" s="1020" t="s">
        <v>1180</v>
      </c>
      <c r="E59" s="1021"/>
      <c r="F59" s="1021"/>
      <c r="G59" s="1022"/>
    </row>
    <row r="60" spans="1:7" ht="11.25">
      <c r="A60" s="1002"/>
      <c r="B60" s="974"/>
      <c r="C60" s="975"/>
      <c r="D60" s="1002"/>
      <c r="E60" s="974"/>
      <c r="F60" s="974"/>
      <c r="G60" s="975"/>
    </row>
    <row r="61" spans="1:7" ht="12.75" customHeight="1">
      <c r="A61" s="996" t="s">
        <v>1181</v>
      </c>
      <c r="B61" s="997"/>
      <c r="C61" s="998"/>
      <c r="D61" s="996" t="s">
        <v>788</v>
      </c>
      <c r="E61" s="997"/>
      <c r="F61" s="997"/>
      <c r="G61" s="998"/>
    </row>
    <row r="62" spans="1:9" ht="11.25">
      <c r="A62" s="990" t="str">
        <f>VLOOKUP(MONTH('CNMV ESP'!A62),conversion,3,FALSE)&amp;" "&amp;DAY('CNMV ESP'!A62)&amp;VLOOKUP(DAY('CNMV ESP'!A62),conversion,2,FALSE)&amp;", "&amp;YEAR('CNMV ESP'!A62)</f>
        <v>June 21th, 2010</v>
      </c>
      <c r="B62" s="991"/>
      <c r="C62" s="992"/>
      <c r="D62" s="990" t="str">
        <f>VLOOKUP(MONTH('CNMV ESP'!D62),conversion,3,FALSE)&amp;" "&amp;DAY('CNMV ESP'!D62)&amp;VLOOKUP(DAY('CNMV ESP'!D62),conversion,2,FALSE)&amp;", "&amp;YEAR('CNMV ESP'!D62)</f>
        <v>September 20th, 2010</v>
      </c>
      <c r="E62" s="991"/>
      <c r="F62" s="991"/>
      <c r="G62" s="992"/>
      <c r="H62" s="93"/>
      <c r="I62" s="93"/>
    </row>
    <row r="63" spans="1:7" ht="24">
      <c r="A63" s="34"/>
      <c r="B63" s="446" t="s">
        <v>1182</v>
      </c>
      <c r="C63" s="447" t="s">
        <v>1183</v>
      </c>
      <c r="D63" s="442" t="s">
        <v>1184</v>
      </c>
      <c r="E63" s="448" t="s">
        <v>1185</v>
      </c>
      <c r="F63" s="983" t="s">
        <v>1186</v>
      </c>
      <c r="G63" s="984"/>
    </row>
    <row r="64" spans="1:10" ht="12">
      <c r="A64" s="20" t="s">
        <v>793</v>
      </c>
      <c r="B64" s="212">
        <f>IF('CNMV ESP'!B65="","",'CNMV ESP'!B65)</f>
        <v>0</v>
      </c>
      <c r="C64" s="471">
        <f>IF('CNMV ESP'!C65="","",'CNMV ESP'!C65)</f>
        <v>0</v>
      </c>
      <c r="D64" s="92">
        <f>IF('CNMV ESP'!D65="","",'CNMV ESP'!D65)</f>
        <v>0</v>
      </c>
      <c r="E64" s="91">
        <f>IF('CNMV ESP'!E65="","",'CNMV ESP'!E65)</f>
        <v>0</v>
      </c>
      <c r="F64" s="988">
        <f>IF('CNMV ESP'!F65="","",'CNMV ESP'!F65)</f>
        <v>0</v>
      </c>
      <c r="G64" s="989">
        <f>IF('CNMV ESP'!G65="","",'CNMV ESP'!G65)</f>
      </c>
      <c r="I64" s="56"/>
      <c r="J64" s="56"/>
    </row>
    <row r="65" spans="1:10" ht="12">
      <c r="A65" s="20" t="s">
        <v>794</v>
      </c>
      <c r="B65" s="212">
        <f>IF('CNMV ESP'!B66="","",'CNMV ESP'!B66)</f>
        <v>10133.71</v>
      </c>
      <c r="C65" s="472">
        <f>IF('CNMV ESP'!C66="","",'CNMV ESP'!C66)</f>
        <v>139.66</v>
      </c>
      <c r="D65" s="92">
        <f>IF('CNMV ESP'!D66="","",'CNMV ESP'!D66)</f>
        <v>0.00979</v>
      </c>
      <c r="E65" s="91">
        <f>IF('CNMV ESP'!E66="","",'CNMV ESP'!E66)</f>
        <v>127.86</v>
      </c>
      <c r="F65" s="988">
        <f>IF('CNMV ESP'!F66="","",'CNMV ESP'!F66)</f>
        <v>103.57</v>
      </c>
      <c r="G65" s="989">
        <f>IF('CNMV ESP'!G66="","",'CNMV ESP'!G66)</f>
      </c>
      <c r="I65" s="56"/>
      <c r="J65" s="56"/>
    </row>
    <row r="66" spans="1:10" ht="12">
      <c r="A66" s="20" t="s">
        <v>795</v>
      </c>
      <c r="B66" s="212">
        <f>IF('CNMV ESP'!B67="","",'CNMV ESP'!B67)</f>
        <v>0</v>
      </c>
      <c r="C66" s="471">
        <f>IF('CNMV ESP'!C67="","",'CNMV ESP'!C67)</f>
        <v>251.26</v>
      </c>
      <c r="D66" s="92">
        <f>IF('CNMV ESP'!D67="","",'CNMV ESP'!D67)</f>
        <v>0.01079</v>
      </c>
      <c r="E66" s="91">
        <f>IF('CNMV ESP'!E67="","",'CNMV ESP'!E67)</f>
        <v>272.75</v>
      </c>
      <c r="F66" s="988">
        <f>IF('CNMV ESP'!F67="","",'CNMV ESP'!F67)</f>
        <v>220.93</v>
      </c>
      <c r="G66" s="989">
        <f>IF('CNMV ESP'!G67="","",'CNMV ESP'!G67)</f>
      </c>
      <c r="I66" s="56"/>
      <c r="J66" s="56"/>
    </row>
    <row r="67" spans="1:10" ht="12">
      <c r="A67" s="20" t="s">
        <v>796</v>
      </c>
      <c r="B67" s="212">
        <f>IF('CNMV ESP'!B68="","",'CNMV ESP'!B68)</f>
        <v>0</v>
      </c>
      <c r="C67" s="471">
        <f>IF('CNMV ESP'!C68="","",'CNMV ESP'!C68)</f>
        <v>365.01</v>
      </c>
      <c r="D67" s="92">
        <f>IF('CNMV ESP'!D68="","",'CNMV ESP'!D68)</f>
        <v>0.01529</v>
      </c>
      <c r="E67" s="91">
        <f>IF('CNMV ESP'!E68="","",'CNMV ESP'!E68)</f>
        <v>386.5</v>
      </c>
      <c r="F67" s="988">
        <f>IF('CNMV ESP'!F68="","",'CNMV ESP'!F68)</f>
        <v>313.07</v>
      </c>
      <c r="G67" s="989">
        <f>IF('CNMV ESP'!G68="","",'CNMV ESP'!G68)</f>
      </c>
      <c r="I67" s="56"/>
      <c r="J67" s="56"/>
    </row>
    <row r="68" spans="1:10" ht="12">
      <c r="A68" s="20" t="s">
        <v>802</v>
      </c>
      <c r="B68" s="212">
        <f>IF('CNMV ESP'!B69="","",'CNMV ESP'!B69)</f>
        <v>0</v>
      </c>
      <c r="C68" s="471">
        <f>IF('CNMV ESP'!C69="","",'CNMV ESP'!C69)</f>
        <v>541.96</v>
      </c>
      <c r="D68" s="92">
        <f>IF('CNMV ESP'!D69="","",'CNMV ESP'!D69)</f>
        <v>0.022289999999999997</v>
      </c>
      <c r="E68" s="91">
        <f>IF('CNMV ESP'!E69="","",'CNMV ESP'!E69)</f>
        <v>563.44</v>
      </c>
      <c r="F68" s="988">
        <f>IF('CNMV ESP'!F69="","",'CNMV ESP'!F69)</f>
        <v>456.39</v>
      </c>
      <c r="G68" s="989">
        <f>IF('CNMV ESP'!G69="","",'CNMV ESP'!G69)</f>
      </c>
      <c r="I68" s="56"/>
      <c r="J68" s="56"/>
    </row>
    <row r="69" spans="1:7" ht="12">
      <c r="A69" s="1023" t="s">
        <v>1187</v>
      </c>
      <c r="B69" s="1025">
        <f>IF('CNMV ESP'!B70="","",'CNMV ESP'!B70)</f>
        <v>0</v>
      </c>
      <c r="C69" s="473"/>
      <c r="D69" s="69"/>
      <c r="E69" s="65"/>
      <c r="F69" s="1004"/>
      <c r="G69" s="1004"/>
    </row>
    <row r="70" spans="1:5" ht="11.25">
      <c r="A70" s="1024"/>
      <c r="B70" s="1026">
        <f>IF('CNMV ESP'!B71="","",'CNMV ESP'!B71)</f>
      </c>
      <c r="C70" s="474"/>
      <c r="D70" s="56"/>
      <c r="E70" s="56"/>
    </row>
    <row r="71" spans="1:6" ht="12">
      <c r="A71" s="5" t="s">
        <v>1188</v>
      </c>
      <c r="B71" s="35" t="str">
        <f>IF('CNMV ESP'!B72="","",'CNMV ESP'!B72)</f>
        <v>NO</v>
      </c>
      <c r="C71" s="71"/>
      <c r="D71" s="77"/>
      <c r="E71" s="56"/>
      <c r="F71" s="76"/>
    </row>
    <row r="72" spans="1:4" ht="12">
      <c r="A72" s="29"/>
      <c r="B72" s="64" t="s">
        <v>1354</v>
      </c>
      <c r="C72" s="64"/>
      <c r="D72" s="77"/>
    </row>
    <row r="73" spans="1:4" ht="12">
      <c r="A73" s="29"/>
      <c r="B73" s="70"/>
      <c r="C73" s="70"/>
      <c r="D73" s="77"/>
    </row>
    <row r="74" ht="15" customHeight="1">
      <c r="D74" s="77"/>
    </row>
    <row r="75" ht="15" customHeight="1">
      <c r="D75" s="56"/>
    </row>
    <row r="76" ht="15" customHeight="1">
      <c r="G76" s="29"/>
    </row>
    <row r="77" ht="12">
      <c r="G77" s="29"/>
    </row>
    <row r="80" spans="1:2" s="39" customFormat="1" ht="13.5">
      <c r="A80" s="38" t="s">
        <v>1189</v>
      </c>
      <c r="B80" s="38"/>
    </row>
    <row r="81" spans="1:2" s="39" customFormat="1" ht="13.5">
      <c r="A81" s="19"/>
      <c r="B81" s="38"/>
    </row>
    <row r="82" spans="1:6" ht="12">
      <c r="A82" s="19"/>
      <c r="B82" s="19"/>
      <c r="C82" s="1003"/>
      <c r="D82" s="1003"/>
      <c r="E82" s="1003"/>
      <c r="F82" s="1003"/>
    </row>
    <row r="83" spans="4:7" ht="14.25" customHeight="1">
      <c r="D83" s="1003"/>
      <c r="E83" s="1003"/>
      <c r="F83" s="1003"/>
      <c r="G83" s="1003"/>
    </row>
    <row r="84" spans="1:5" ht="11.25">
      <c r="A84" s="977" t="s">
        <v>1190</v>
      </c>
      <c r="B84" s="979" t="s">
        <v>1191</v>
      </c>
      <c r="C84" s="1039"/>
      <c r="D84" s="979" t="s">
        <v>1192</v>
      </c>
      <c r="E84" s="1039"/>
    </row>
    <row r="85" spans="1:5" ht="11.25">
      <c r="A85" s="978"/>
      <c r="B85" s="1002"/>
      <c r="C85" s="975"/>
      <c r="D85" s="1002"/>
      <c r="E85" s="975"/>
    </row>
    <row r="86" spans="1:5" ht="12">
      <c r="A86" s="5" t="s">
        <v>1193</v>
      </c>
      <c r="B86" s="970">
        <f>IF('CNMV ESP'!B87="","",'CNMV ESP'!B87)</f>
        <v>18660</v>
      </c>
      <c r="C86" s="1005">
        <f>IF('CNMV ESP'!C87="","",'CNMV ESP'!C87)</f>
      </c>
      <c r="D86" s="970">
        <f>IF('CNMV ESP'!D87="","",'CNMV ESP'!D87)</f>
        <v>5216</v>
      </c>
      <c r="E86" s="1005">
        <f>IF('CNMV ESP'!E87="","",'CNMV ESP'!E87)</f>
      </c>
    </row>
    <row r="87" spans="1:5" ht="12">
      <c r="A87" s="20" t="s">
        <v>1194</v>
      </c>
      <c r="B87" s="1027">
        <f>IF('CNMV ESP'!B88="","",'CNMV ESP'!B88)</f>
        <v>2000000488.74</v>
      </c>
      <c r="C87" s="1028">
        <f>IF('CNMV ESP'!C88="","",'CNMV ESP'!C88)</f>
      </c>
      <c r="D87" s="1027">
        <f>IF('CNMV ESP'!D88="","",'CNMV ESP'!D88)</f>
        <v>553337874.7499999</v>
      </c>
      <c r="E87" s="1028">
        <f>IF('CNMV ESP'!E88="","",'CNMV ESP'!E88)</f>
      </c>
    </row>
    <row r="88" spans="1:5" ht="11.25">
      <c r="A88" s="977" t="s">
        <v>1195</v>
      </c>
      <c r="B88" s="1006">
        <f>IF('CNMV ESP'!B89="","",'CNMV ESP'!B89)</f>
        <v>107181.1623118971</v>
      </c>
      <c r="C88" s="976">
        <f>IF('CNMV ESP'!C89="","",'CNMV ESP'!C89)</f>
      </c>
      <c r="D88" s="1006">
        <f>IF('CNMV ESP'!D89="","",'CNMV ESP'!D89)</f>
        <v>106084.71525115028</v>
      </c>
      <c r="E88" s="976">
        <f>IF('CNMV ESP'!E89="","",'CNMV ESP'!E89)</f>
      </c>
    </row>
    <row r="89" spans="1:5" ht="11.25">
      <c r="A89" s="978"/>
      <c r="B89" s="1002">
        <f>IF('CNMV ESP'!B90="","",'CNMV ESP'!B90)</f>
      </c>
      <c r="C89" s="975">
        <f>IF('CNMV ESP'!C90="","",'CNMV ESP'!C90)</f>
      </c>
      <c r="D89" s="1002">
        <f>IF('CNMV ESP'!D90="","",'CNMV ESP'!D90)</f>
      </c>
      <c r="E89" s="975">
        <f>IF('CNMV ESP'!E90="","",'CNMV ESP'!E90)</f>
      </c>
    </row>
    <row r="90" spans="1:8" ht="14.25" customHeight="1">
      <c r="A90" s="5" t="s">
        <v>1184</v>
      </c>
      <c r="B90" s="968">
        <f>IF('CNMV ESP'!B91="","",'CNMV ESP'!B91)</f>
        <v>0.04501809526141692</v>
      </c>
      <c r="C90" s="969">
        <f>IF('CNMV ESP'!C91="","",'CNMV ESP'!C91)</f>
      </c>
      <c r="D90" s="968">
        <f>IF('CNMV ESP'!D91="","",'CNMV ESP'!D91)</f>
        <v>0.0442</v>
      </c>
      <c r="E90" s="969">
        <f>IF('CNMV ESP'!E91="","",'CNMV ESP'!E91)</f>
      </c>
      <c r="H90" s="99"/>
    </row>
    <row r="91" ht="11.25">
      <c r="H91" s="99"/>
    </row>
    <row r="92" ht="11.25">
      <c r="H92" s="99"/>
    </row>
    <row r="93" spans="1:5" ht="11.25">
      <c r="A93" s="972" t="s">
        <v>1196</v>
      </c>
      <c r="B93" s="973"/>
      <c r="C93" s="979" t="s">
        <v>1192</v>
      </c>
      <c r="D93" s="980"/>
      <c r="E93" s="976"/>
    </row>
    <row r="94" spans="1:5" ht="11.25">
      <c r="A94" s="971"/>
      <c r="B94" s="967"/>
      <c r="C94" s="1002"/>
      <c r="D94" s="974"/>
      <c r="E94" s="975"/>
    </row>
    <row r="95" spans="1:5" ht="12.75" customHeight="1">
      <c r="A95" s="26" t="s">
        <v>1197</v>
      </c>
      <c r="B95" s="33"/>
      <c r="C95" s="985">
        <f>'CNMV ESP'!C96:E96</f>
        <v>0.1101461997450411</v>
      </c>
      <c r="D95" s="982"/>
      <c r="E95" s="981"/>
    </row>
    <row r="96" spans="1:5" ht="12">
      <c r="A96" s="26" t="s">
        <v>1198</v>
      </c>
      <c r="B96" s="33"/>
      <c r="C96" s="985">
        <f>'CNMV ESP'!C97:E97</f>
        <v>0.11568098260361026</v>
      </c>
      <c r="D96" s="982"/>
      <c r="E96" s="981"/>
    </row>
    <row r="97" spans="1:5" ht="12">
      <c r="A97" s="26" t="s">
        <v>1199</v>
      </c>
      <c r="B97" s="33"/>
      <c r="C97" s="985">
        <f>'CNMV ESP'!C98:E98</f>
        <v>0.14204134574807892</v>
      </c>
      <c r="D97" s="982"/>
      <c r="E97" s="981"/>
    </row>
    <row r="99" spans="3:6" ht="12">
      <c r="C99" s="1003"/>
      <c r="D99" s="1003"/>
      <c r="E99" s="1003"/>
      <c r="F99" s="1003"/>
    </row>
    <row r="100" spans="1:5" ht="12">
      <c r="A100" s="82"/>
      <c r="B100" s="75"/>
      <c r="C100" s="36"/>
      <c r="D100" s="36"/>
      <c r="E100" s="36"/>
    </row>
    <row r="101" spans="1:5" ht="22.5" customHeight="1">
      <c r="A101" s="1037" t="s">
        <v>1200</v>
      </c>
      <c r="B101" s="1038"/>
      <c r="C101" s="439" t="s">
        <v>1201</v>
      </c>
      <c r="D101" s="439" t="s">
        <v>1202</v>
      </c>
      <c r="E101" s="439" t="s">
        <v>1203</v>
      </c>
    </row>
    <row r="102" spans="1:7" ht="16.5" customHeight="1">
      <c r="A102" s="26" t="s">
        <v>1204</v>
      </c>
      <c r="B102" s="6"/>
      <c r="C102" s="94">
        <f>'CNMV ESP'!C103</f>
        <v>933901.01</v>
      </c>
      <c r="D102" s="94">
        <f>'CNMV ESP'!D103</f>
        <v>2027904.52</v>
      </c>
      <c r="E102" s="94">
        <f>'CNMV ESP'!E103</f>
        <v>1402013.0599999998</v>
      </c>
      <c r="G102" s="56"/>
    </row>
    <row r="103" spans="1:5" ht="18" customHeight="1">
      <c r="A103" s="26" t="s">
        <v>1205</v>
      </c>
      <c r="B103" s="6"/>
      <c r="C103" s="94">
        <f>'CNMV ESP'!C104</f>
        <v>0</v>
      </c>
      <c r="D103" s="94">
        <f>'CNMV ESP'!D104</f>
        <v>0</v>
      </c>
      <c r="E103" s="94">
        <f>'CNMV ESP'!E104</f>
        <v>549211373.8099998</v>
      </c>
    </row>
    <row r="104" spans="1:5" ht="16.5" customHeight="1">
      <c r="A104" s="26" t="s">
        <v>1206</v>
      </c>
      <c r="B104" s="6"/>
      <c r="C104" s="94">
        <f>'CNMV ESP'!C105</f>
        <v>933901.01</v>
      </c>
      <c r="D104" s="94">
        <f>'CNMV ESP'!D105</f>
        <v>2027904.52</v>
      </c>
      <c r="E104" s="94">
        <f>'CNMV ESP'!E105</f>
        <v>550613386.8699998</v>
      </c>
    </row>
    <row r="105" ht="11.25">
      <c r="C105" s="42"/>
    </row>
    <row r="108" ht="11.25">
      <c r="D108" s="56"/>
    </row>
    <row r="109" spans="1:3" ht="11.25">
      <c r="A109" s="36"/>
      <c r="B109" s="36"/>
      <c r="C109" s="46"/>
    </row>
    <row r="110" ht="11.25">
      <c r="C110" s="56"/>
    </row>
    <row r="115" ht="11.25">
      <c r="D115" s="444"/>
    </row>
  </sheetData>
  <mergeCells count="64">
    <mergeCell ref="A101:B101"/>
    <mergeCell ref="B50:B51"/>
    <mergeCell ref="B52:B53"/>
    <mergeCell ref="C97:E97"/>
    <mergeCell ref="D87:E87"/>
    <mergeCell ref="A88:A89"/>
    <mergeCell ref="B86:C86"/>
    <mergeCell ref="B88:C89"/>
    <mergeCell ref="B84:C85"/>
    <mergeCell ref="D84:E85"/>
    <mergeCell ref="B10:C10"/>
    <mergeCell ref="B44:B45"/>
    <mergeCell ref="B46:B47"/>
    <mergeCell ref="B48:B49"/>
    <mergeCell ref="C40:F40"/>
    <mergeCell ref="D42:D43"/>
    <mergeCell ref="E42:E43"/>
    <mergeCell ref="F42:F43"/>
    <mergeCell ref="F44:F45"/>
    <mergeCell ref="B28:C28"/>
    <mergeCell ref="A39:A43"/>
    <mergeCell ref="B39:B43"/>
    <mergeCell ref="C95:E95"/>
    <mergeCell ref="F52:F53"/>
    <mergeCell ref="F64:G64"/>
    <mergeCell ref="A59:C60"/>
    <mergeCell ref="D59:G60"/>
    <mergeCell ref="A69:A70"/>
    <mergeCell ref="B69:B70"/>
    <mergeCell ref="B87:C87"/>
    <mergeCell ref="F46:F47"/>
    <mergeCell ref="F48:F49"/>
    <mergeCell ref="F50:F51"/>
    <mergeCell ref="A22:A23"/>
    <mergeCell ref="A25:A26"/>
    <mergeCell ref="D22:D23"/>
    <mergeCell ref="E22:F23"/>
    <mergeCell ref="D25:D26"/>
    <mergeCell ref="B22:C22"/>
    <mergeCell ref="B24:C24"/>
    <mergeCell ref="C96:E96"/>
    <mergeCell ref="A84:A85"/>
    <mergeCell ref="C93:E94"/>
    <mergeCell ref="A93:B94"/>
    <mergeCell ref="B90:C90"/>
    <mergeCell ref="D90:E90"/>
    <mergeCell ref="D86:E86"/>
    <mergeCell ref="D88:E89"/>
    <mergeCell ref="B25:C25"/>
    <mergeCell ref="E25:E26"/>
    <mergeCell ref="C99:F99"/>
    <mergeCell ref="F69:G69"/>
    <mergeCell ref="F63:G63"/>
    <mergeCell ref="F67:G67"/>
    <mergeCell ref="F68:G68"/>
    <mergeCell ref="D83:G83"/>
    <mergeCell ref="C82:F82"/>
    <mergeCell ref="F66:G66"/>
    <mergeCell ref="F65:G65"/>
    <mergeCell ref="A62:C62"/>
    <mergeCell ref="A58:G58"/>
    <mergeCell ref="D61:G61"/>
    <mergeCell ref="D62:G62"/>
    <mergeCell ref="A61:C61"/>
  </mergeCells>
  <printOptions horizontalCentered="1"/>
  <pageMargins left="0.2362204724409449" right="0.75" top="0.79" bottom="1" header="0" footer="0"/>
  <pageSetup horizontalDpi="600" verticalDpi="600" orientation="portrait" paperSize="9" scale="72" r:id="rId2"/>
  <rowBreaks count="1" manualBreakCount="1">
    <brk id="76" max="255" man="1"/>
  </rowBreaks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A8:K110"/>
  <sheetViews>
    <sheetView workbookViewId="0" topLeftCell="A1">
      <selection activeCell="A1" sqref="A1"/>
    </sheetView>
  </sheetViews>
  <sheetFormatPr defaultColWidth="11.421875" defaultRowHeight="12.75"/>
  <cols>
    <col min="1" max="1" width="28.421875" style="4" customWidth="1"/>
    <col min="2" max="2" width="18.57421875" style="4" customWidth="1"/>
    <col min="3" max="3" width="14.8515625" style="4" customWidth="1"/>
    <col min="4" max="4" width="20.57421875" style="4" customWidth="1"/>
    <col min="5" max="5" width="15.421875" style="4" customWidth="1"/>
    <col min="6" max="6" width="14.140625" style="4" customWidth="1"/>
    <col min="7" max="7" width="3.140625" style="4" customWidth="1"/>
    <col min="8" max="8" width="3.8515625" style="4" customWidth="1"/>
    <col min="9" max="10" width="8.421875" style="4" bestFit="1" customWidth="1"/>
    <col min="11" max="11" width="5.421875" style="4" bestFit="1" customWidth="1"/>
    <col min="12" max="16384" width="20.00390625" style="4" customWidth="1"/>
  </cols>
  <sheetData>
    <row r="1" ht="12"/>
    <row r="2" ht="12"/>
    <row r="3" ht="12"/>
    <row r="4" ht="12"/>
    <row r="5" ht="12"/>
    <row r="6" ht="12"/>
    <row r="7" ht="12"/>
    <row r="8" spans="1:5" ht="12">
      <c r="A8" s="3" t="s">
        <v>1250</v>
      </c>
      <c r="B8" s="3"/>
      <c r="C8" s="464" t="s">
        <v>1152</v>
      </c>
      <c r="D8" s="465"/>
      <c r="E8" s="465"/>
    </row>
    <row r="9" ht="12"/>
    <row r="10" spans="1:6" ht="12">
      <c r="A10" s="3" t="s">
        <v>1280</v>
      </c>
      <c r="B10" s="3"/>
      <c r="C10" s="3"/>
      <c r="D10" s="3"/>
      <c r="E10" s="3"/>
      <c r="F10" s="3"/>
    </row>
    <row r="11" spans="1:6" ht="12">
      <c r="A11" s="3" t="s">
        <v>1281</v>
      </c>
      <c r="B11" s="1029" t="s">
        <v>1251</v>
      </c>
      <c r="C11" s="1030"/>
      <c r="D11" s="89" t="str">
        <f>TEXT(Español!G15,"DD MM AAAA")&amp;" - "&amp;TEXT(Español!G14,"DD MM AAAA")</f>
        <v>22 03 2010 - 21 06 2010</v>
      </c>
      <c r="E11" s="445" t="s">
        <v>1252</v>
      </c>
      <c r="F11" s="90">
        <f>YEAR(Español!A10)</f>
        <v>2010</v>
      </c>
    </row>
    <row r="12" spans="1:6" ht="12">
      <c r="A12" s="3"/>
      <c r="B12" s="3"/>
      <c r="C12" s="3"/>
      <c r="D12" s="3"/>
      <c r="E12" s="3"/>
      <c r="F12" s="3"/>
    </row>
    <row r="13" spans="1:6" ht="12">
      <c r="A13" s="3"/>
      <c r="B13" s="3"/>
      <c r="C13" s="3"/>
      <c r="D13" s="3"/>
      <c r="E13" s="3"/>
      <c r="F13" s="3"/>
    </row>
    <row r="14" spans="1:6" ht="12">
      <c r="A14" s="7" t="s">
        <v>1282</v>
      </c>
      <c r="B14" s="8"/>
      <c r="C14" s="9"/>
      <c r="D14" s="7" t="s">
        <v>1253</v>
      </c>
      <c r="E14" s="8"/>
      <c r="F14" s="9"/>
    </row>
    <row r="15" spans="1:6" ht="12">
      <c r="A15" s="10" t="s">
        <v>1283</v>
      </c>
      <c r="B15" s="11"/>
      <c r="C15" s="12"/>
      <c r="D15" s="10"/>
      <c r="E15" s="11"/>
      <c r="F15" s="12"/>
    </row>
    <row r="16" spans="1:6" ht="12">
      <c r="A16" s="13"/>
      <c r="B16" s="14"/>
      <c r="C16" s="14"/>
      <c r="D16" s="13"/>
      <c r="E16" s="14"/>
      <c r="F16" s="15"/>
    </row>
    <row r="17" spans="1:6" ht="12">
      <c r="A17" s="16" t="s">
        <v>1284</v>
      </c>
      <c r="B17" s="17"/>
      <c r="C17" s="17"/>
      <c r="D17" s="16"/>
      <c r="E17" s="17"/>
      <c r="F17" s="18"/>
    </row>
    <row r="18" ht="12"/>
    <row r="19" ht="12"/>
    <row r="20" s="39" customFormat="1" ht="15">
      <c r="A20" s="38" t="s">
        <v>1259</v>
      </c>
    </row>
    <row r="21" ht="12"/>
    <row r="22" ht="12">
      <c r="H22" s="76"/>
    </row>
    <row r="23" spans="1:8" ht="12">
      <c r="A23" s="7" t="s">
        <v>1285</v>
      </c>
      <c r="B23" s="211">
        <v>39360</v>
      </c>
      <c r="C23" s="15"/>
      <c r="D23" s="9" t="s">
        <v>1288</v>
      </c>
      <c r="E23" s="101" t="s">
        <v>84</v>
      </c>
      <c r="F23" s="15"/>
      <c r="H23" s="76"/>
    </row>
    <row r="24" spans="1:8" ht="12">
      <c r="A24" s="10" t="s">
        <v>1286</v>
      </c>
      <c r="B24" s="24"/>
      <c r="C24" s="25"/>
      <c r="D24" s="12" t="s">
        <v>18</v>
      </c>
      <c r="E24" s="16" t="s">
        <v>1249</v>
      </c>
      <c r="F24" s="18"/>
      <c r="H24" s="76"/>
    </row>
    <row r="25" spans="1:8" ht="12">
      <c r="A25" s="7" t="s">
        <v>1504</v>
      </c>
      <c r="B25" s="211">
        <v>39364</v>
      </c>
      <c r="C25" s="15"/>
      <c r="D25" s="37" t="s">
        <v>1260</v>
      </c>
      <c r="E25" s="35" t="s">
        <v>1261</v>
      </c>
      <c r="F25" s="6"/>
      <c r="H25" s="76"/>
    </row>
    <row r="26" spans="1:8" ht="12">
      <c r="A26" s="7" t="s">
        <v>1287</v>
      </c>
      <c r="B26" s="1048">
        <v>51399</v>
      </c>
      <c r="C26" s="1049"/>
      <c r="D26" s="9" t="s">
        <v>1505</v>
      </c>
      <c r="E26" s="1001" t="s">
        <v>1506</v>
      </c>
      <c r="F26" s="15"/>
      <c r="H26" s="76"/>
    </row>
    <row r="27" spans="1:6" ht="12">
      <c r="A27" s="10" t="s">
        <v>1492</v>
      </c>
      <c r="B27" s="16"/>
      <c r="C27" s="18"/>
      <c r="D27" s="12" t="s">
        <v>1289</v>
      </c>
      <c r="E27" s="1002"/>
      <c r="F27" s="18"/>
    </row>
    <row r="28" spans="1:6" ht="12">
      <c r="A28" s="10" t="s">
        <v>1262</v>
      </c>
      <c r="B28" s="23" t="s">
        <v>7</v>
      </c>
      <c r="C28" s="18"/>
      <c r="D28" s="5" t="s">
        <v>1289</v>
      </c>
      <c r="E28" s="90" t="s">
        <v>1263</v>
      </c>
      <c r="F28" s="102" t="s">
        <v>1264</v>
      </c>
    </row>
    <row r="29" spans="1:6" ht="12">
      <c r="A29" s="5" t="s">
        <v>1493</v>
      </c>
      <c r="B29" s="1035" t="s">
        <v>84</v>
      </c>
      <c r="C29" s="1036"/>
      <c r="D29" s="22" t="s">
        <v>29</v>
      </c>
      <c r="E29" s="27" t="s">
        <v>85</v>
      </c>
      <c r="F29" s="27" t="s">
        <v>85</v>
      </c>
    </row>
    <row r="30" spans="1:6" ht="12">
      <c r="A30" s="29"/>
      <c r="B30" s="97"/>
      <c r="C30" s="25"/>
      <c r="D30" s="5" t="s">
        <v>30</v>
      </c>
      <c r="E30" s="27" t="s">
        <v>85</v>
      </c>
      <c r="F30" s="27" t="s">
        <v>85</v>
      </c>
    </row>
    <row r="31" spans="1:6" ht="12">
      <c r="A31" s="29"/>
      <c r="B31" s="98"/>
      <c r="C31" s="25"/>
      <c r="D31" s="5" t="s">
        <v>1507</v>
      </c>
      <c r="E31" s="27" t="s">
        <v>86</v>
      </c>
      <c r="F31" s="27" t="s">
        <v>86</v>
      </c>
    </row>
    <row r="32" spans="1:6" ht="12">
      <c r="A32" s="29"/>
      <c r="B32" s="98"/>
      <c r="C32" s="36"/>
      <c r="D32" s="5" t="s">
        <v>1495</v>
      </c>
      <c r="E32" s="27" t="s">
        <v>87</v>
      </c>
      <c r="F32" s="27" t="s">
        <v>87</v>
      </c>
    </row>
    <row r="33" spans="1:6" ht="12">
      <c r="A33" s="29"/>
      <c r="B33" s="98"/>
      <c r="C33" s="36"/>
      <c r="D33" s="5" t="s">
        <v>19</v>
      </c>
      <c r="E33" s="27" t="s">
        <v>88</v>
      </c>
      <c r="F33" s="27" t="s">
        <v>128</v>
      </c>
    </row>
    <row r="34" ht="12"/>
    <row r="35" spans="1:6" s="39" customFormat="1" ht="15">
      <c r="A35" s="38"/>
      <c r="B35" s="38"/>
      <c r="C35" s="38"/>
      <c r="D35" s="38"/>
      <c r="E35" s="38"/>
      <c r="F35" s="38"/>
    </row>
    <row r="36" s="39" customFormat="1" ht="15">
      <c r="A36" s="38"/>
    </row>
    <row r="37" ht="15">
      <c r="A37" s="38" t="s">
        <v>397</v>
      </c>
    </row>
    <row r="38" ht="12"/>
    <row r="39" ht="12"/>
    <row r="40" spans="1:6" ht="12">
      <c r="A40" s="1015" t="s">
        <v>1148</v>
      </c>
      <c r="B40" s="1018" t="s">
        <v>1494</v>
      </c>
      <c r="C40" s="8"/>
      <c r="D40" s="8"/>
      <c r="E40" s="8"/>
      <c r="F40" s="15"/>
    </row>
    <row r="41" spans="1:6" ht="12.75" customHeight="1">
      <c r="A41" s="1016"/>
      <c r="B41" s="1019"/>
      <c r="C41" s="1032" t="s">
        <v>1290</v>
      </c>
      <c r="D41" s="1033"/>
      <c r="E41" s="1033"/>
      <c r="F41" s="1030"/>
    </row>
    <row r="42" spans="1:6" ht="12">
      <c r="A42" s="1016"/>
      <c r="B42" s="1019"/>
      <c r="C42" s="11"/>
      <c r="D42" s="11"/>
      <c r="E42" s="11"/>
      <c r="F42" s="18"/>
    </row>
    <row r="43" spans="1:6" ht="12">
      <c r="A43" s="1016"/>
      <c r="B43" s="1019"/>
      <c r="C43" s="31"/>
      <c r="D43" s="1034" t="s">
        <v>1291</v>
      </c>
      <c r="E43" s="1034" t="s">
        <v>1292</v>
      </c>
      <c r="F43" s="1034" t="s">
        <v>1293</v>
      </c>
    </row>
    <row r="44" spans="1:6" ht="12">
      <c r="A44" s="1017"/>
      <c r="B44" s="1019"/>
      <c r="C44" s="32"/>
      <c r="D44" s="1017"/>
      <c r="E44" s="1017"/>
      <c r="F44" s="1017"/>
    </row>
    <row r="45" spans="1:8" ht="12">
      <c r="A45" s="31" t="s">
        <v>29</v>
      </c>
      <c r="B45" s="1031">
        <f>'Fecha de pago'!G71</f>
        <v>10600</v>
      </c>
      <c r="C45" s="5" t="s">
        <v>1265</v>
      </c>
      <c r="D45" s="91">
        <v>100000</v>
      </c>
      <c r="E45" s="91">
        <f>'Fecha de pago'!U71</f>
        <v>0</v>
      </c>
      <c r="F45" s="1050">
        <f>(E46)/D46</f>
        <v>0</v>
      </c>
      <c r="H45" s="56"/>
    </row>
    <row r="46" spans="1:8" ht="12">
      <c r="A46" s="466" t="s">
        <v>90</v>
      </c>
      <c r="B46" s="1017"/>
      <c r="C46" s="5" t="s">
        <v>1266</v>
      </c>
      <c r="D46" s="91">
        <f>D45*$B45</f>
        <v>1060000000</v>
      </c>
      <c r="E46" s="91">
        <f>E45*$B45</f>
        <v>0</v>
      </c>
      <c r="F46" s="1017"/>
      <c r="H46" s="56"/>
    </row>
    <row r="47" spans="1:6" ht="12">
      <c r="A47" s="467" t="s">
        <v>30</v>
      </c>
      <c r="B47" s="1031">
        <f>'Fecha de pago'!G72</f>
        <v>8000</v>
      </c>
      <c r="C47" s="5" t="s">
        <v>1265</v>
      </c>
      <c r="D47" s="91">
        <v>100000</v>
      </c>
      <c r="E47" s="91">
        <f>'Fecha de pago'!U72</f>
        <v>51667.23</v>
      </c>
      <c r="F47" s="1050">
        <f>(E48)/D48</f>
        <v>0.5166723</v>
      </c>
    </row>
    <row r="48" spans="1:6" ht="12">
      <c r="A48" s="466" t="s">
        <v>91</v>
      </c>
      <c r="B48" s="1017"/>
      <c r="C48" s="5" t="s">
        <v>1266</v>
      </c>
      <c r="D48" s="91">
        <f>D47*$B47</f>
        <v>800000000</v>
      </c>
      <c r="E48" s="91">
        <f>E47*$B47</f>
        <v>413337840</v>
      </c>
      <c r="F48" s="1017"/>
    </row>
    <row r="49" spans="1:6" ht="12">
      <c r="A49" s="467" t="s">
        <v>1507</v>
      </c>
      <c r="B49" s="1031">
        <f>'Fecha de pago'!G73</f>
        <v>700</v>
      </c>
      <c r="C49" s="5" t="s">
        <v>1265</v>
      </c>
      <c r="D49" s="91">
        <v>100000</v>
      </c>
      <c r="E49" s="91">
        <f>'Fecha de pago'!U73</f>
        <v>100000</v>
      </c>
      <c r="F49" s="1050">
        <f>(E50)/D50</f>
        <v>1</v>
      </c>
    </row>
    <row r="50" spans="1:8" ht="12">
      <c r="A50" s="466" t="s">
        <v>92</v>
      </c>
      <c r="B50" s="1017"/>
      <c r="C50" s="5" t="s">
        <v>1266</v>
      </c>
      <c r="D50" s="91">
        <f>D49*$B49</f>
        <v>70000000</v>
      </c>
      <c r="E50" s="91">
        <f>E49*$B49</f>
        <v>70000000</v>
      </c>
      <c r="F50" s="1017"/>
      <c r="H50" s="56"/>
    </row>
    <row r="51" spans="1:6" ht="12">
      <c r="A51" s="467" t="s">
        <v>1495</v>
      </c>
      <c r="B51" s="1031">
        <f>'Fecha de pago'!G74</f>
        <v>350</v>
      </c>
      <c r="C51" s="5" t="s">
        <v>1265</v>
      </c>
      <c r="D51" s="91">
        <v>100000</v>
      </c>
      <c r="E51" s="91">
        <f>'Fecha de pago'!U74</f>
        <v>100000</v>
      </c>
      <c r="F51" s="1050">
        <f>(E51)/D51</f>
        <v>1</v>
      </c>
    </row>
    <row r="52" spans="1:6" ht="12">
      <c r="A52" s="466" t="s">
        <v>93</v>
      </c>
      <c r="B52" s="1017"/>
      <c r="C52" s="5" t="s">
        <v>1266</v>
      </c>
      <c r="D52" s="91">
        <f>D51*$B51</f>
        <v>35000000</v>
      </c>
      <c r="E52" s="91">
        <f>E51*$B51</f>
        <v>35000000</v>
      </c>
      <c r="F52" s="1017"/>
    </row>
    <row r="53" spans="1:6" ht="12">
      <c r="A53" s="467" t="s">
        <v>19</v>
      </c>
      <c r="B53" s="1031">
        <f>'Fecha de pago'!G75</f>
        <v>350</v>
      </c>
      <c r="C53" s="5" t="s">
        <v>1265</v>
      </c>
      <c r="D53" s="91">
        <v>100000</v>
      </c>
      <c r="E53" s="91">
        <f>'Fecha de pago'!U75</f>
        <v>100000</v>
      </c>
      <c r="F53" s="1050">
        <f>(E54)/D54</f>
        <v>1</v>
      </c>
    </row>
    <row r="54" spans="1:8" ht="12">
      <c r="A54" s="466" t="s">
        <v>94</v>
      </c>
      <c r="B54" s="1017"/>
      <c r="C54" s="5" t="s">
        <v>1266</v>
      </c>
      <c r="D54" s="91">
        <f>D53*$B53</f>
        <v>35000000</v>
      </c>
      <c r="E54" s="91">
        <f>E53*$B53</f>
        <v>35000000</v>
      </c>
      <c r="F54" s="1017"/>
      <c r="H54" s="100"/>
    </row>
    <row r="55" spans="4:5" ht="12">
      <c r="D55" s="57"/>
      <c r="E55" s="56"/>
    </row>
    <row r="56" spans="4:5" ht="12">
      <c r="D56" s="57"/>
      <c r="E56" s="56"/>
    </row>
    <row r="57" ht="12"/>
    <row r="58" spans="1:7" ht="12.75" customHeight="1">
      <c r="A58" s="993" t="s">
        <v>1496</v>
      </c>
      <c r="B58" s="994"/>
      <c r="C58" s="994"/>
      <c r="D58" s="994"/>
      <c r="E58" s="994"/>
      <c r="F58" s="994"/>
      <c r="G58" s="995"/>
    </row>
    <row r="59" spans="1:7" ht="12.75" customHeight="1">
      <c r="A59" s="1020" t="s">
        <v>1264</v>
      </c>
      <c r="B59" s="1021"/>
      <c r="C59" s="1022"/>
      <c r="D59" s="1020" t="s">
        <v>1267</v>
      </c>
      <c r="E59" s="1021"/>
      <c r="F59" s="1021"/>
      <c r="G59" s="1022"/>
    </row>
    <row r="60" spans="1:7" ht="12">
      <c r="A60" s="1002"/>
      <c r="B60" s="974"/>
      <c r="C60" s="975"/>
      <c r="D60" s="1002"/>
      <c r="E60" s="974"/>
      <c r="F60" s="974"/>
      <c r="G60" s="975"/>
    </row>
    <row r="61" spans="1:7" ht="12.75" customHeight="1">
      <c r="A61" s="996" t="s">
        <v>1499</v>
      </c>
      <c r="B61" s="997"/>
      <c r="C61" s="998"/>
      <c r="D61" s="996" t="s">
        <v>1268</v>
      </c>
      <c r="E61" s="997"/>
      <c r="F61" s="997"/>
      <c r="G61" s="998"/>
    </row>
    <row r="62" spans="1:11" ht="12">
      <c r="A62" s="990">
        <f>Español!G14</f>
        <v>40350</v>
      </c>
      <c r="B62" s="991"/>
      <c r="C62" s="991"/>
      <c r="D62" s="990">
        <f>Español!G18</f>
        <v>40441</v>
      </c>
      <c r="E62" s="991"/>
      <c r="F62" s="991"/>
      <c r="G62" s="992"/>
      <c r="H62" s="93"/>
      <c r="I62" s="1051" t="s">
        <v>1337</v>
      </c>
      <c r="J62" s="1052"/>
      <c r="K62" s="1053"/>
    </row>
    <row r="63" spans="1:7" ht="12">
      <c r="A63" s="34"/>
      <c r="B63" s="66" t="s">
        <v>1500</v>
      </c>
      <c r="C63" s="68" t="s">
        <v>1502</v>
      </c>
      <c r="D63" s="1015" t="s">
        <v>1269</v>
      </c>
      <c r="E63" s="28" t="s">
        <v>1299</v>
      </c>
      <c r="F63" s="1032" t="s">
        <v>1498</v>
      </c>
      <c r="G63" s="1030"/>
    </row>
    <row r="64" spans="1:7" ht="12">
      <c r="A64" s="21"/>
      <c r="B64" s="67" t="s">
        <v>1501</v>
      </c>
      <c r="C64" s="62" t="s">
        <v>1503</v>
      </c>
      <c r="D64" s="1017"/>
      <c r="E64" s="30" t="s">
        <v>1300</v>
      </c>
      <c r="F64" s="1032" t="s">
        <v>1300</v>
      </c>
      <c r="G64" s="1030"/>
    </row>
    <row r="65" spans="1:11" ht="12">
      <c r="A65" s="20" t="s">
        <v>31</v>
      </c>
      <c r="B65" s="212">
        <f>'Fecha de pago'!V71</f>
        <v>0</v>
      </c>
      <c r="C65" s="212">
        <f>'Fecha de pago'!O81</f>
        <v>0</v>
      </c>
      <c r="D65" s="92">
        <v>0</v>
      </c>
      <c r="E65" s="212">
        <f>E45*D65*($D$62-$A$62)/360</f>
        <v>0</v>
      </c>
      <c r="F65" s="988">
        <f>E65*0.81</f>
        <v>0</v>
      </c>
      <c r="G65" s="989"/>
      <c r="I65" s="893">
        <f>D65*($D$62-$A$62)/360*100</f>
        <v>0</v>
      </c>
      <c r="J65" s="894" t="str">
        <f>IF(INT(I65)=0,".",INT(I65)&amp;".")&amp;TEXT(TRUNC((I65-INT(I65))*1000000,0),"000000")</f>
        <v>.000000</v>
      </c>
      <c r="K65" s="895" t="str">
        <f>IF(INT(100*D65)=0,".",INT(100*D65)&amp;".")&amp;TEXT(1000*MOD(100*D65,1),"000")</f>
        <v>.000</v>
      </c>
    </row>
    <row r="66" spans="1:11" ht="12">
      <c r="A66" s="20" t="s">
        <v>32</v>
      </c>
      <c r="B66" s="212">
        <f>'Fecha de pago'!V72</f>
        <v>10133.71</v>
      </c>
      <c r="C66" s="212">
        <f>'Fecha de pago'!P81</f>
        <v>139.66</v>
      </c>
      <c r="D66" s="92">
        <f>VLOOKUP(MID(A66,14,8),'tipos interés EBAN 1'!$B$22:$R$29,MATCH($A$62,'tipos interés EBAN 1'!$B$18:$R$18,0),FALSE)</f>
        <v>0.00979</v>
      </c>
      <c r="E66" s="212">
        <f>ROUND(E47*D66*($D$62-$A$62)/360,2)</f>
        <v>127.86</v>
      </c>
      <c r="F66" s="988">
        <f>ROUND(E66*0.81,2)</f>
        <v>103.57</v>
      </c>
      <c r="G66" s="989"/>
      <c r="I66" s="893">
        <f>D66*($D$62-$A$62)/360*100</f>
        <v>0.24746944444444444</v>
      </c>
      <c r="J66" s="894" t="str">
        <f>IF(INT(I66)=0,".",INT(I66)&amp;".")&amp;TEXT(TRUNC((I66-INT(I66))*1000000,0),"000000")</f>
        <v>.247469</v>
      </c>
      <c r="K66" s="895" t="str">
        <f>IF(INT(100*D66)=0,".",INT(100*D66)&amp;".")&amp;TEXT(1000*MOD(100*D66,1),"000")</f>
        <v>.979</v>
      </c>
    </row>
    <row r="67" spans="1:11" ht="12">
      <c r="A67" s="20" t="s">
        <v>1271</v>
      </c>
      <c r="B67" s="212">
        <f>'Fecha de pago'!V73</f>
        <v>0</v>
      </c>
      <c r="C67" s="212">
        <f>'Fecha de pago'!Q81</f>
        <v>251.26</v>
      </c>
      <c r="D67" s="92">
        <f>VLOOKUP(MID(A67,14,8),'tipos interés EBAN 1'!$B$22:$R$29,MATCH($A$62,'tipos interés EBAN 1'!$B$18:$R$18,0),FALSE)</f>
        <v>0.01079</v>
      </c>
      <c r="E67" s="212">
        <f>ROUND(E49*D67*($D$62-$A$62)/360,2)</f>
        <v>272.75</v>
      </c>
      <c r="F67" s="988">
        <f>ROUND(E67*0.81,2)</f>
        <v>220.93</v>
      </c>
      <c r="G67" s="989"/>
      <c r="I67" s="893">
        <f>D67*($D$62-$A$62)/360*100</f>
        <v>0.2727472222222222</v>
      </c>
      <c r="J67" s="894" t="str">
        <f>IF(INT(I67)=0,".",INT(I67)&amp;".")&amp;TEXT(TRUNC((I67-INT(I67))*1000000,0),"000000")</f>
        <v>.272747</v>
      </c>
      <c r="K67" s="895" t="str">
        <f>IF(INT(100*D67)=0,".",INT(100*D67)&amp;".")&amp;TEXT(1000*MOD(100*D67,1),"000")</f>
        <v>1.079</v>
      </c>
    </row>
    <row r="68" spans="1:11" ht="12">
      <c r="A68" s="20" t="s">
        <v>1497</v>
      </c>
      <c r="B68" s="212">
        <f>'Fecha de pago'!V74</f>
        <v>0</v>
      </c>
      <c r="C68" s="212">
        <f>'Fecha de pago'!R81</f>
        <v>365.01</v>
      </c>
      <c r="D68" s="92">
        <f>VLOOKUP(MID(A68,14,8),'tipos interés EBAN 1'!$B$22:$R$29,MATCH($A$62,'tipos interés EBAN 1'!$B$18:$R$18,0),FALSE)</f>
        <v>0.01529</v>
      </c>
      <c r="E68" s="212">
        <f>ROUND(E51*D68*($D$62-$A$62)/360,2)</f>
        <v>386.5</v>
      </c>
      <c r="F68" s="988">
        <f>ROUND(E68*0.81,2)</f>
        <v>313.07</v>
      </c>
      <c r="G68" s="989"/>
      <c r="I68" s="893">
        <f>D68*($D$62-$A$62)/360*100</f>
        <v>0.3864972222222222</v>
      </c>
      <c r="J68" s="894" t="str">
        <f>IF(INT(I68)=0,".",INT(I68)&amp;".")&amp;TEXT(TRUNC((I68-INT(I68))*1000000,0),"000000")</f>
        <v>.386497</v>
      </c>
      <c r="K68" s="895" t="str">
        <f>IF(INT(100*D68)=0,".",INT(100*D68)&amp;".")&amp;TEXT(1000*MOD(100*D68,1),"000")</f>
        <v>1.529</v>
      </c>
    </row>
    <row r="69" spans="1:11" ht="12">
      <c r="A69" s="20" t="s">
        <v>26</v>
      </c>
      <c r="B69" s="212">
        <f>'Fecha de pago'!V75</f>
        <v>0</v>
      </c>
      <c r="C69" s="212">
        <f>'Fecha de pago'!S81</f>
        <v>541.96</v>
      </c>
      <c r="D69" s="92">
        <f>VLOOKUP(MID(A69,14,8),'tipos interés EBAN 1'!$B$22:$R$29,MATCH($A$62,'tipos interés EBAN 1'!$B$18:$R$18,0),FALSE)</f>
        <v>0.022289999999999997</v>
      </c>
      <c r="E69" s="212">
        <f>ROUND(E53*D69*($D$62-$A$62)/360,2)</f>
        <v>563.44</v>
      </c>
      <c r="F69" s="988">
        <f>ROUND(E69*0.81,2)</f>
        <v>456.39</v>
      </c>
      <c r="G69" s="989"/>
      <c r="I69" s="893">
        <f>D69*($D$62-$A$62)/360*100</f>
        <v>0.5634416666666666</v>
      </c>
      <c r="J69" s="894" t="str">
        <f>IF(INT(I69)=0,".",INT(I69)&amp;".")&amp;TEXT(TRUNC((I69-INT(I69))*1000000,0),"000000")</f>
        <v>.563441</v>
      </c>
      <c r="K69" s="895" t="str">
        <f>IF(INT(100*D69)=0,".",INT(100*D69)&amp;".")&amp;TEXT(1000*MOD(100*D69,1),"000")</f>
        <v>2.229</v>
      </c>
    </row>
    <row r="70" spans="1:7" ht="12">
      <c r="A70" s="20" t="s">
        <v>1297</v>
      </c>
      <c r="B70" s="1040">
        <v>0</v>
      </c>
      <c r="C70" s="13"/>
      <c r="D70" s="69"/>
      <c r="E70" s="65"/>
      <c r="F70" s="1004"/>
      <c r="G70" s="1004"/>
    </row>
    <row r="71" spans="1:5" ht="12">
      <c r="A71" s="21" t="s">
        <v>1298</v>
      </c>
      <c r="B71" s="1041"/>
      <c r="C71" s="63"/>
      <c r="D71" s="56"/>
      <c r="E71" s="56"/>
    </row>
    <row r="72" spans="1:6" ht="12">
      <c r="A72" s="5" t="s">
        <v>1270</v>
      </c>
      <c r="B72" s="35" t="s">
        <v>1508</v>
      </c>
      <c r="C72" s="71"/>
      <c r="D72" s="77"/>
      <c r="E72" s="56"/>
      <c r="F72" s="76"/>
    </row>
    <row r="73" spans="1:4" ht="12">
      <c r="A73" s="29"/>
      <c r="B73" s="64"/>
      <c r="C73" s="64"/>
      <c r="D73" s="77"/>
    </row>
    <row r="74" spans="1:4" ht="12">
      <c r="A74" s="29"/>
      <c r="B74" s="70"/>
      <c r="C74" s="70"/>
      <c r="D74" s="77"/>
    </row>
    <row r="75" ht="15" customHeight="1">
      <c r="D75" s="463"/>
    </row>
    <row r="76" ht="15" customHeight="1">
      <c r="D76" s="56"/>
    </row>
    <row r="77" ht="15" customHeight="1">
      <c r="G77" s="29"/>
    </row>
    <row r="78" ht="12">
      <c r="G78" s="29"/>
    </row>
    <row r="79" ht="12"/>
    <row r="80" ht="12"/>
    <row r="81" spans="1:2" s="39" customFormat="1" ht="15">
      <c r="A81" s="38" t="s">
        <v>98</v>
      </c>
      <c r="B81" s="38"/>
    </row>
    <row r="82" spans="1:2" s="39" customFormat="1" ht="15">
      <c r="A82" s="38"/>
      <c r="B82" s="38"/>
    </row>
    <row r="83" spans="1:6" ht="12">
      <c r="A83" s="19"/>
      <c r="B83" s="19"/>
      <c r="C83" s="1003"/>
      <c r="D83" s="1003"/>
      <c r="E83" s="1003"/>
      <c r="F83" s="1003"/>
    </row>
    <row r="84" spans="4:7" ht="14.25" customHeight="1">
      <c r="D84" s="1003"/>
      <c r="E84" s="1003"/>
      <c r="F84" s="1003"/>
      <c r="G84" s="1003"/>
    </row>
    <row r="85" spans="1:5" ht="12">
      <c r="A85" s="1023" t="s">
        <v>1149</v>
      </c>
      <c r="B85" s="979" t="s">
        <v>1150</v>
      </c>
      <c r="C85" s="976"/>
      <c r="D85" s="979" t="s">
        <v>1272</v>
      </c>
      <c r="E85" s="976"/>
    </row>
    <row r="86" spans="1:5" ht="12">
      <c r="A86" s="1024"/>
      <c r="B86" s="1002"/>
      <c r="C86" s="975"/>
      <c r="D86" s="1002"/>
      <c r="E86" s="975"/>
    </row>
    <row r="87" spans="1:5" ht="12">
      <c r="A87" s="5" t="s">
        <v>95</v>
      </c>
      <c r="B87" s="1042">
        <f>1685+16975</f>
        <v>18660</v>
      </c>
      <c r="C87" s="1043"/>
      <c r="D87" s="1042">
        <f>Español!C40</f>
        <v>5216</v>
      </c>
      <c r="E87" s="1043"/>
    </row>
    <row r="88" spans="1:5" ht="12">
      <c r="A88" s="20" t="s">
        <v>1301</v>
      </c>
      <c r="B88" s="1027">
        <f>1308724773.93+691275714.81</f>
        <v>2000000488.74</v>
      </c>
      <c r="C88" s="1028"/>
      <c r="D88" s="988">
        <f>Español!C39</f>
        <v>553337874.7499999</v>
      </c>
      <c r="E88" s="989"/>
    </row>
    <row r="89" spans="1:5" ht="12">
      <c r="A89" s="20" t="s">
        <v>96</v>
      </c>
      <c r="B89" s="1044">
        <f>+B88/B87</f>
        <v>107181.1623118971</v>
      </c>
      <c r="C89" s="1045"/>
      <c r="D89" s="1044">
        <f>D88/D87</f>
        <v>106084.71525115028</v>
      </c>
      <c r="E89" s="1045"/>
    </row>
    <row r="90" spans="1:5" ht="12">
      <c r="A90" s="21" t="s">
        <v>97</v>
      </c>
      <c r="B90" s="1046"/>
      <c r="C90" s="1047"/>
      <c r="D90" s="1046"/>
      <c r="E90" s="1047"/>
    </row>
    <row r="91" spans="1:8" ht="14.25" customHeight="1">
      <c r="A91" s="5" t="s">
        <v>1269</v>
      </c>
      <c r="B91" s="985">
        <f>(1308724*4.39+691275*4.72)/(1308724+692275)/100</f>
        <v>0.04501809526141692</v>
      </c>
      <c r="C91" s="981"/>
      <c r="D91" s="985">
        <v>0.0442</v>
      </c>
      <c r="E91" s="981"/>
      <c r="H91" s="99"/>
    </row>
    <row r="92" ht="11.25">
      <c r="H92" s="99"/>
    </row>
    <row r="93" ht="11.25">
      <c r="H93" s="99"/>
    </row>
    <row r="94" spans="1:5" ht="11.25">
      <c r="A94" s="972" t="s">
        <v>1273</v>
      </c>
      <c r="B94" s="973"/>
      <c r="C94" s="1018" t="s">
        <v>1272</v>
      </c>
      <c r="D94" s="1019"/>
      <c r="E94" s="1019"/>
    </row>
    <row r="95" spans="1:5" ht="12" thickBot="1">
      <c r="A95" s="971"/>
      <c r="B95" s="967"/>
      <c r="C95" s="1019"/>
      <c r="D95" s="1019"/>
      <c r="E95" s="1019"/>
    </row>
    <row r="96" spans="1:9" ht="12.75" customHeight="1">
      <c r="A96" s="26" t="s">
        <v>1274</v>
      </c>
      <c r="B96" s="33"/>
      <c r="C96" s="985">
        <f>I96</f>
        <v>0.1101461997450411</v>
      </c>
      <c r="D96" s="982"/>
      <c r="E96" s="981"/>
      <c r="F96" s="100"/>
      <c r="I96" s="549">
        <v>0.1101461997450411</v>
      </c>
    </row>
    <row r="97" spans="1:9" ht="12.75" customHeight="1">
      <c r="A97" s="26" t="s">
        <v>1275</v>
      </c>
      <c r="B97" s="33"/>
      <c r="C97" s="985">
        <f>+I97</f>
        <v>0.11568098260361026</v>
      </c>
      <c r="D97" s="982"/>
      <c r="E97" s="981"/>
      <c r="F97" s="100"/>
      <c r="I97" s="550">
        <v>0.11568098260361026</v>
      </c>
    </row>
    <row r="98" spans="1:9" ht="12.75" customHeight="1" thickBot="1">
      <c r="A98" s="26" t="s">
        <v>1302</v>
      </c>
      <c r="B98" s="33"/>
      <c r="C98" s="985">
        <f>+I98</f>
        <v>0.14204134574807892</v>
      </c>
      <c r="D98" s="982"/>
      <c r="E98" s="981"/>
      <c r="F98" s="100"/>
      <c r="I98" s="551">
        <v>0.14204134574807892</v>
      </c>
    </row>
    <row r="100" spans="3:6" ht="12">
      <c r="C100" s="1003"/>
      <c r="D100" s="1003"/>
      <c r="E100" s="1003"/>
      <c r="F100" s="1003"/>
    </row>
    <row r="101" spans="1:5" ht="12">
      <c r="A101" s="82"/>
      <c r="B101" s="75"/>
      <c r="C101" s="36"/>
      <c r="D101" s="36"/>
      <c r="E101" s="36"/>
    </row>
    <row r="102" spans="1:5" ht="22.5" customHeight="1">
      <c r="A102" s="440" t="s">
        <v>1276</v>
      </c>
      <c r="B102" s="441"/>
      <c r="C102" s="442" t="s">
        <v>1277</v>
      </c>
      <c r="D102" s="442" t="s">
        <v>1278</v>
      </c>
      <c r="E102" s="443" t="s">
        <v>1151</v>
      </c>
    </row>
    <row r="103" spans="1:7" ht="16.5" customHeight="1">
      <c r="A103" s="26" t="s">
        <v>89</v>
      </c>
      <c r="B103" s="6"/>
      <c r="C103" s="94">
        <f>SUM(Español!C50:C51)</f>
        <v>933901.01</v>
      </c>
      <c r="D103" s="94">
        <f>SUM(Español!D50:F51)</f>
        <v>2027904.52</v>
      </c>
      <c r="E103" s="94">
        <f>SUM(Español!G50:G51)</f>
        <v>1402013.0599999998</v>
      </c>
      <c r="G103" s="56"/>
    </row>
    <row r="104" spans="1:8" ht="18" customHeight="1">
      <c r="A104" s="26" t="s">
        <v>1303</v>
      </c>
      <c r="B104" s="6"/>
      <c r="C104" s="469"/>
      <c r="D104" s="470"/>
      <c r="E104" s="95">
        <f>D88-SUM(Español!C50:G50)</f>
        <v>549211373.8099998</v>
      </c>
      <c r="H104" s="4">
        <f>Español!G23-Español!F23</f>
        <v>986</v>
      </c>
    </row>
    <row r="105" spans="1:5" ht="16.5" customHeight="1">
      <c r="A105" s="26" t="s">
        <v>1279</v>
      </c>
      <c r="B105" s="6"/>
      <c r="C105" s="94">
        <f>C103+C104</f>
        <v>933901.01</v>
      </c>
      <c r="D105" s="94">
        <f>D103+D104</f>
        <v>2027904.52</v>
      </c>
      <c r="E105" s="94">
        <f>E103+E104</f>
        <v>550613386.8699998</v>
      </c>
    </row>
    <row r="106" ht="11.25">
      <c r="C106" s="42"/>
    </row>
    <row r="109" ht="11.25">
      <c r="D109" s="56"/>
    </row>
    <row r="110" spans="1:3" ht="11.25">
      <c r="A110" s="36"/>
      <c r="B110" s="36"/>
      <c r="C110" s="46"/>
    </row>
  </sheetData>
  <mergeCells count="57">
    <mergeCell ref="I62:K62"/>
    <mergeCell ref="B29:C29"/>
    <mergeCell ref="F64:G64"/>
    <mergeCell ref="F67:G67"/>
    <mergeCell ref="D89:E90"/>
    <mergeCell ref="D59:G60"/>
    <mergeCell ref="F45:F46"/>
    <mergeCell ref="F47:F48"/>
    <mergeCell ref="F49:F50"/>
    <mergeCell ref="F51:F52"/>
    <mergeCell ref="F53:F54"/>
    <mergeCell ref="E26:E27"/>
    <mergeCell ref="E43:E44"/>
    <mergeCell ref="F43:F44"/>
    <mergeCell ref="D43:D44"/>
    <mergeCell ref="B26:C26"/>
    <mergeCell ref="F66:G66"/>
    <mergeCell ref="F65:G65"/>
    <mergeCell ref="C41:F41"/>
    <mergeCell ref="A61:C61"/>
    <mergeCell ref="A62:C62"/>
    <mergeCell ref="D61:G61"/>
    <mergeCell ref="D62:G62"/>
    <mergeCell ref="A58:G58"/>
    <mergeCell ref="B51:B52"/>
    <mergeCell ref="C100:F100"/>
    <mergeCell ref="F70:G70"/>
    <mergeCell ref="F63:G63"/>
    <mergeCell ref="F68:G68"/>
    <mergeCell ref="F69:G69"/>
    <mergeCell ref="D84:G84"/>
    <mergeCell ref="C83:F83"/>
    <mergeCell ref="D63:D64"/>
    <mergeCell ref="B85:C86"/>
    <mergeCell ref="B89:C90"/>
    <mergeCell ref="A40:A44"/>
    <mergeCell ref="B40:B44"/>
    <mergeCell ref="B45:B46"/>
    <mergeCell ref="A59:C60"/>
    <mergeCell ref="B47:B48"/>
    <mergeCell ref="B49:B50"/>
    <mergeCell ref="B53:B54"/>
    <mergeCell ref="A85:A86"/>
    <mergeCell ref="B87:C87"/>
    <mergeCell ref="B88:C88"/>
    <mergeCell ref="D88:E88"/>
    <mergeCell ref="D87:E87"/>
    <mergeCell ref="C96:E96"/>
    <mergeCell ref="C97:E97"/>
    <mergeCell ref="C98:E98"/>
    <mergeCell ref="B11:C11"/>
    <mergeCell ref="B70:B71"/>
    <mergeCell ref="B91:C91"/>
    <mergeCell ref="D91:E91"/>
    <mergeCell ref="A94:B95"/>
    <mergeCell ref="C94:E95"/>
    <mergeCell ref="D85:E86"/>
  </mergeCells>
  <printOptions horizontalCentered="1"/>
  <pageMargins left="0.2755905511811024" right="0.31496062992125984" top="0.8661417322834646" bottom="0.984251968503937" header="0" footer="0"/>
  <pageSetup horizontalDpi="600" verticalDpi="600" orientation="portrait" paperSize="9" scale="71" r:id="rId4"/>
  <rowBreaks count="1" manualBreakCount="1">
    <brk id="77" max="255" man="1"/>
  </rowBreaks>
  <colBreaks count="1" manualBreakCount="1">
    <brk id="7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"/>
  <dimension ref="A6:AI295"/>
  <sheetViews>
    <sheetView tabSelected="1" workbookViewId="0" topLeftCell="A134">
      <selection activeCell="F154" sqref="F154"/>
    </sheetView>
  </sheetViews>
  <sheetFormatPr defaultColWidth="11.421875" defaultRowHeight="12.75"/>
  <cols>
    <col min="1" max="1" width="11.421875" style="222" customWidth="1"/>
    <col min="2" max="2" width="15.140625" style="222" customWidth="1"/>
    <col min="3" max="3" width="18.421875" style="222" customWidth="1"/>
    <col min="4" max="4" width="17.28125" style="222" customWidth="1"/>
    <col min="5" max="5" width="17.421875" style="222" customWidth="1"/>
    <col min="6" max="6" width="17.57421875" style="222" customWidth="1"/>
    <col min="7" max="7" width="18.421875" style="222" customWidth="1"/>
    <col min="8" max="8" width="5.140625" style="222" customWidth="1"/>
    <col min="9" max="9" width="6.421875" style="222" bestFit="1" customWidth="1"/>
    <col min="10" max="10" width="15.8515625" style="222" bestFit="1" customWidth="1"/>
    <col min="11" max="11" width="59.00390625" style="222" bestFit="1" customWidth="1"/>
    <col min="12" max="12" width="34.421875" style="222" bestFit="1" customWidth="1"/>
    <col min="13" max="13" width="18.140625" style="222" bestFit="1" customWidth="1"/>
    <col min="14" max="14" width="11.421875" style="222" customWidth="1"/>
    <col min="15" max="15" width="6.140625" style="222" customWidth="1"/>
    <col min="16" max="16" width="48.140625" style="222" bestFit="1" customWidth="1"/>
    <col min="17" max="17" width="14.57421875" style="222" bestFit="1" customWidth="1"/>
    <col min="18" max="18" width="4.140625" style="222" customWidth="1"/>
    <col min="19" max="19" width="40.140625" style="222" bestFit="1" customWidth="1"/>
    <col min="20" max="20" width="16.57421875" style="222" bestFit="1" customWidth="1"/>
    <col min="21" max="21" width="16.8515625" style="222" bestFit="1" customWidth="1"/>
    <col min="22" max="22" width="8.00390625" style="222" customWidth="1"/>
    <col min="23" max="23" width="11.7109375" style="222" bestFit="1" customWidth="1"/>
    <col min="24" max="24" width="19.8515625" style="222" customWidth="1"/>
    <col min="25" max="25" width="11.421875" style="222" customWidth="1"/>
    <col min="26" max="27" width="12.7109375" style="222" bestFit="1" customWidth="1"/>
    <col min="28" max="16384" width="11.421875" style="222" customWidth="1"/>
  </cols>
  <sheetData>
    <row r="1" s="53" customFormat="1" ht="15"/>
    <row r="2" s="53" customFormat="1" ht="15"/>
    <row r="3" s="53" customFormat="1" ht="15"/>
    <row r="4" s="53" customFormat="1" ht="15"/>
    <row r="5" s="53" customFormat="1" ht="15"/>
    <row r="6" s="53" customFormat="1" ht="15.75">
      <c r="C6" s="280"/>
    </row>
    <row r="7" spans="1:7" s="53" customFormat="1" ht="18">
      <c r="A7" s="1083" t="s">
        <v>1152</v>
      </c>
      <c r="B7" s="1083"/>
      <c r="C7" s="1083"/>
      <c r="D7" s="1083"/>
      <c r="E7" s="1083"/>
      <c r="F7" s="1083"/>
      <c r="G7" s="1083"/>
    </row>
    <row r="8" spans="1:7" s="53" customFormat="1" ht="18.75" thickBot="1">
      <c r="A8" s="475"/>
      <c r="B8" s="475"/>
      <c r="C8" s="475"/>
      <c r="D8" s="475"/>
      <c r="E8" s="475"/>
      <c r="F8" s="475"/>
      <c r="G8" s="475"/>
    </row>
    <row r="9" spans="1:7" s="53" customFormat="1" ht="18.75" thickBot="1">
      <c r="A9" s="1060" t="s">
        <v>386</v>
      </c>
      <c r="B9" s="1061"/>
      <c r="C9" s="1061"/>
      <c r="D9" s="1061"/>
      <c r="E9" s="1061"/>
      <c r="F9" s="1061"/>
      <c r="G9" s="1062"/>
    </row>
    <row r="10" spans="1:7" s="53" customFormat="1" ht="18">
      <c r="A10" s="1063">
        <f>'Fecha de pago'!I62</f>
        <v>40350</v>
      </c>
      <c r="B10" s="1063"/>
      <c r="C10" s="1063"/>
      <c r="D10" s="1063"/>
      <c r="E10" s="1063"/>
      <c r="F10" s="1063"/>
      <c r="G10" s="1063"/>
    </row>
    <row r="11" ht="15.75" thickBot="1">
      <c r="I11" s="53"/>
    </row>
    <row r="12" spans="1:9" ht="16.5" thickBot="1" thickTop="1">
      <c r="A12" s="1068" t="s">
        <v>1135</v>
      </c>
      <c r="B12" s="1069"/>
      <c r="C12" s="1070"/>
      <c r="E12" s="1068" t="s">
        <v>387</v>
      </c>
      <c r="F12" s="1069"/>
      <c r="G12" s="1070"/>
      <c r="I12" s="53"/>
    </row>
    <row r="13" spans="1:10" ht="15.75" thickTop="1">
      <c r="A13" s="1079" t="s">
        <v>388</v>
      </c>
      <c r="B13" s="1080"/>
      <c r="C13" s="281">
        <f>'Fecha de pago'!J80</f>
        <v>553337840</v>
      </c>
      <c r="E13" s="282" t="s">
        <v>389</v>
      </c>
      <c r="F13" s="283"/>
      <c r="G13" s="284">
        <v>40343</v>
      </c>
      <c r="I13" s="53"/>
      <c r="J13" s="543">
        <v>40249</v>
      </c>
    </row>
    <row r="14" spans="1:9" ht="15">
      <c r="A14" s="1077" t="s">
        <v>390</v>
      </c>
      <c r="B14" s="1078"/>
      <c r="C14" s="287">
        <f>+C13-C15</f>
        <v>0</v>
      </c>
      <c r="E14" s="1084" t="s">
        <v>391</v>
      </c>
      <c r="F14" s="1085"/>
      <c r="G14" s="288">
        <f>A10</f>
        <v>40350</v>
      </c>
      <c r="I14" s="53"/>
    </row>
    <row r="15" spans="1:9" ht="15">
      <c r="A15" s="1077" t="s">
        <v>118</v>
      </c>
      <c r="B15" s="1078"/>
      <c r="C15" s="287">
        <f>'Fecha de pago'!W80</f>
        <v>553337840</v>
      </c>
      <c r="E15" s="289" t="s">
        <v>392</v>
      </c>
      <c r="F15" s="290"/>
      <c r="G15" s="351">
        <f>'Fecha de pago'!I61</f>
        <v>40259</v>
      </c>
      <c r="I15" s="53"/>
    </row>
    <row r="16" spans="1:9" ht="15">
      <c r="A16" s="1071" t="s">
        <v>393</v>
      </c>
      <c r="B16" s="1072"/>
      <c r="C16" s="291">
        <f>+C15/2000000000</f>
        <v>0.27666892</v>
      </c>
      <c r="E16" s="289" t="s">
        <v>394</v>
      </c>
      <c r="F16" s="290"/>
      <c r="G16" s="292">
        <f>+G14-G15</f>
        <v>91</v>
      </c>
      <c r="I16" s="53"/>
    </row>
    <row r="17" spans="1:9" ht="15.75" thickBot="1">
      <c r="A17" s="1075" t="s">
        <v>395</v>
      </c>
      <c r="B17" s="1076"/>
      <c r="C17" s="295">
        <v>0</v>
      </c>
      <c r="E17" s="1084" t="s">
        <v>396</v>
      </c>
      <c r="F17" s="1085"/>
      <c r="G17" s="297">
        <f ca="1">OFFSET('tipos interés EBAN 1'!A20,0,MATCH($A$10,'tipos interés EBAN 1'!$B$18:$R$18,0))</f>
        <v>0.00729</v>
      </c>
      <c r="I17" s="53"/>
    </row>
    <row r="18" spans="5:9" ht="16.5" thickBot="1" thickTop="1">
      <c r="E18" s="1081" t="s">
        <v>398</v>
      </c>
      <c r="F18" s="1082"/>
      <c r="G18" s="298">
        <v>40441</v>
      </c>
      <c r="I18" s="53"/>
    </row>
    <row r="19" spans="9:35" ht="15.75" thickTop="1">
      <c r="I19" s="53"/>
      <c r="P19" s="850"/>
      <c r="Q19" s="850"/>
      <c r="R19" s="850"/>
      <c r="S19" s="850"/>
      <c r="T19" s="850"/>
      <c r="U19" s="850"/>
      <c r="V19" s="850"/>
      <c r="W19" s="850"/>
      <c r="X19" s="850"/>
      <c r="Y19" s="850"/>
      <c r="Z19" s="850"/>
      <c r="AA19" s="850"/>
      <c r="AB19" s="850"/>
      <c r="AC19" s="850"/>
      <c r="AD19" s="850"/>
      <c r="AE19" s="850"/>
      <c r="AF19" s="850"/>
      <c r="AG19" s="850"/>
      <c r="AH19" s="850"/>
      <c r="AI19" s="850"/>
    </row>
    <row r="20" spans="16:35" ht="13.5" thickBot="1">
      <c r="P20" s="850"/>
      <c r="Q20" s="850"/>
      <c r="R20" s="850"/>
      <c r="S20" s="850"/>
      <c r="T20" s="850"/>
      <c r="U20" s="850"/>
      <c r="V20" s="850"/>
      <c r="W20" s="850"/>
      <c r="X20" s="850"/>
      <c r="Y20" s="850"/>
      <c r="Z20" s="850"/>
      <c r="AA20" s="850"/>
      <c r="AB20" s="850"/>
      <c r="AC20" s="850"/>
      <c r="AD20" s="850"/>
      <c r="AE20" s="850"/>
      <c r="AF20" s="850"/>
      <c r="AG20" s="850"/>
      <c r="AH20" s="850"/>
      <c r="AI20" s="850"/>
    </row>
    <row r="21" spans="5:35" ht="14.25" thickBot="1" thickTop="1">
      <c r="E21" s="1068" t="s">
        <v>399</v>
      </c>
      <c r="F21" s="1069"/>
      <c r="G21" s="1070"/>
      <c r="P21" s="850"/>
      <c r="Q21" s="850"/>
      <c r="R21" s="850"/>
      <c r="S21" s="850"/>
      <c r="T21" s="850"/>
      <c r="U21" s="850"/>
      <c r="V21" s="850"/>
      <c r="W21" s="850"/>
      <c r="X21" s="850"/>
      <c r="Y21" s="850"/>
      <c r="Z21" s="850"/>
      <c r="AA21" s="850"/>
      <c r="AB21" s="850"/>
      <c r="AC21" s="850"/>
      <c r="AD21" s="850"/>
      <c r="AE21" s="850"/>
      <c r="AF21" s="850"/>
      <c r="AG21" s="850"/>
      <c r="AH21" s="850"/>
      <c r="AI21" s="850"/>
    </row>
    <row r="22" spans="5:35" ht="14.25" thickBot="1" thickTop="1">
      <c r="E22" s="366"/>
      <c r="F22" s="367" t="s">
        <v>400</v>
      </c>
      <c r="G22" s="375" t="s">
        <v>401</v>
      </c>
      <c r="P22" s="850"/>
      <c r="Q22" s="1109" t="s">
        <v>1233</v>
      </c>
      <c r="R22" s="1109"/>
      <c r="S22" s="1109"/>
      <c r="T22" s="1109"/>
      <c r="U22" s="1109" t="s">
        <v>1255</v>
      </c>
      <c r="V22" s="1109"/>
      <c r="W22" s="1109"/>
      <c r="X22" s="1109"/>
      <c r="Y22" s="1109" t="s">
        <v>1237</v>
      </c>
      <c r="Z22" s="1109"/>
      <c r="AA22" s="1109"/>
      <c r="AB22" s="1109"/>
      <c r="AC22" s="1109" t="s">
        <v>1254</v>
      </c>
      <c r="AD22" s="1109"/>
      <c r="AE22" s="1109"/>
      <c r="AF22" s="1109"/>
      <c r="AG22" s="850"/>
      <c r="AH22" s="850"/>
      <c r="AI22" s="850"/>
    </row>
    <row r="23" spans="1:35" ht="14.25" thickBot="1" thickTop="1">
      <c r="A23" s="1068" t="s">
        <v>1136</v>
      </c>
      <c r="B23" s="1069"/>
      <c r="C23" s="1070"/>
      <c r="E23" s="368"/>
      <c r="F23" s="369">
        <v>39364</v>
      </c>
      <c r="G23" s="376">
        <f>+A10</f>
        <v>40350</v>
      </c>
      <c r="P23" s="850"/>
      <c r="Q23" s="851" t="s">
        <v>1234</v>
      </c>
      <c r="R23" s="851" t="s">
        <v>1235</v>
      </c>
      <c r="S23" s="851" t="s">
        <v>811</v>
      </c>
      <c r="T23" s="851" t="s">
        <v>1236</v>
      </c>
      <c r="U23" s="851" t="s">
        <v>1234</v>
      </c>
      <c r="V23" s="851" t="s">
        <v>1235</v>
      </c>
      <c r="W23" s="851" t="s">
        <v>811</v>
      </c>
      <c r="X23" s="851" t="s">
        <v>1236</v>
      </c>
      <c r="Y23" s="851" t="s">
        <v>1234</v>
      </c>
      <c r="Z23" s="851" t="s">
        <v>1235</v>
      </c>
      <c r="AA23" s="851" t="s">
        <v>811</v>
      </c>
      <c r="AB23" s="851" t="s">
        <v>1236</v>
      </c>
      <c r="AC23" s="851" t="s">
        <v>1234</v>
      </c>
      <c r="AD23" s="851" t="s">
        <v>1235</v>
      </c>
      <c r="AE23" s="851" t="s">
        <v>811</v>
      </c>
      <c r="AF23" s="851" t="s">
        <v>1236</v>
      </c>
      <c r="AG23" s="850"/>
      <c r="AH23" s="850"/>
      <c r="AI23" s="850"/>
    </row>
    <row r="24" spans="1:35" ht="13.5" thickTop="1">
      <c r="A24" s="299" t="s">
        <v>1024</v>
      </c>
      <c r="B24" s="300"/>
      <c r="C24" s="301">
        <f>'Fecha de pago'!C66</f>
        <v>0</v>
      </c>
      <c r="E24" s="370"/>
      <c r="F24" s="371">
        <v>0.05</v>
      </c>
      <c r="G24" s="377">
        <f>'CNMV ESP'!C98</f>
        <v>0.14204134574807892</v>
      </c>
      <c r="P24" s="852" t="s">
        <v>1225</v>
      </c>
      <c r="Q24" s="853">
        <v>432</v>
      </c>
      <c r="R24" s="854">
        <v>14215954.27</v>
      </c>
      <c r="S24" s="854">
        <v>1706736.99</v>
      </c>
      <c r="T24" s="855">
        <v>223038.38</v>
      </c>
      <c r="U24" s="853"/>
      <c r="V24" s="854"/>
      <c r="W24" s="854"/>
      <c r="X24" s="855"/>
      <c r="Y24" s="853">
        <v>116</v>
      </c>
      <c r="Z24" s="854">
        <v>28274941.22</v>
      </c>
      <c r="AA24" s="854">
        <v>16750742.9</v>
      </c>
      <c r="AB24" s="855">
        <v>195891.11</v>
      </c>
      <c r="AC24" s="853"/>
      <c r="AD24" s="854"/>
      <c r="AE24" s="854"/>
      <c r="AF24" s="855"/>
      <c r="AG24" s="850"/>
      <c r="AH24" s="850"/>
      <c r="AI24" s="850"/>
    </row>
    <row r="25" spans="1:35" ht="12.75">
      <c r="A25" s="285" t="s">
        <v>1025</v>
      </c>
      <c r="B25" s="286"/>
      <c r="C25" s="287">
        <f>'Fecha de pago'!C68</f>
        <v>1117280</v>
      </c>
      <c r="E25" s="370" t="s">
        <v>29</v>
      </c>
      <c r="F25" s="372">
        <v>1.02</v>
      </c>
      <c r="G25" s="378" t="s">
        <v>42</v>
      </c>
      <c r="P25" s="852" t="s">
        <v>1226</v>
      </c>
      <c r="Q25" s="856">
        <v>191</v>
      </c>
      <c r="R25" s="857">
        <v>7192031.08</v>
      </c>
      <c r="S25" s="857">
        <v>1242088.95</v>
      </c>
      <c r="T25" s="858">
        <v>118900.6</v>
      </c>
      <c r="U25" s="856"/>
      <c r="V25" s="857"/>
      <c r="W25" s="857"/>
      <c r="X25" s="858"/>
      <c r="Y25" s="856">
        <v>2</v>
      </c>
      <c r="Z25" s="857">
        <v>299941.56</v>
      </c>
      <c r="AA25" s="857">
        <v>14905.48</v>
      </c>
      <c r="AB25" s="858">
        <v>194.86</v>
      </c>
      <c r="AC25" s="856"/>
      <c r="AD25" s="857"/>
      <c r="AE25" s="857"/>
      <c r="AF25" s="858"/>
      <c r="AG25" s="850"/>
      <c r="AH25" s="850"/>
      <c r="AI25" s="850"/>
    </row>
    <row r="26" spans="1:35" ht="12.75">
      <c r="A26" s="285" t="s">
        <v>1026</v>
      </c>
      <c r="B26" s="286"/>
      <c r="C26" s="302">
        <f>'Fecha de pago'!C70</f>
        <v>175882</v>
      </c>
      <c r="E26" s="319" t="s">
        <v>30</v>
      </c>
      <c r="F26" s="372">
        <v>3.9</v>
      </c>
      <c r="G26" s="378">
        <v>1.1806288242602778</v>
      </c>
      <c r="P26" s="852" t="s">
        <v>1227</v>
      </c>
      <c r="Q26" s="856">
        <v>170</v>
      </c>
      <c r="R26" s="857">
        <v>13697237.17</v>
      </c>
      <c r="S26" s="857">
        <v>894086.41</v>
      </c>
      <c r="T26" s="858">
        <v>85713.86</v>
      </c>
      <c r="U26" s="856"/>
      <c r="V26" s="857"/>
      <c r="W26" s="857"/>
      <c r="X26" s="858"/>
      <c r="Y26" s="856">
        <v>33</v>
      </c>
      <c r="Z26" s="857">
        <v>7237840.42</v>
      </c>
      <c r="AA26" s="857">
        <v>79584.51</v>
      </c>
      <c r="AB26" s="858">
        <v>85302.47</v>
      </c>
      <c r="AC26" s="856"/>
      <c r="AD26" s="857"/>
      <c r="AE26" s="857"/>
      <c r="AF26" s="858"/>
      <c r="AG26" s="850"/>
      <c r="AH26" s="850"/>
      <c r="AI26" s="850"/>
    </row>
    <row r="27" spans="1:35" ht="12.75">
      <c r="A27" s="285" t="s">
        <v>1027</v>
      </c>
      <c r="B27" s="286"/>
      <c r="C27" s="287">
        <f>'Fecha de pago'!C72</f>
        <v>127753.5</v>
      </c>
      <c r="E27" s="319" t="s">
        <v>1507</v>
      </c>
      <c r="F27" s="372">
        <v>4.03</v>
      </c>
      <c r="G27" s="378">
        <v>2.1317510616951116</v>
      </c>
      <c r="P27" s="852" t="s">
        <v>1228</v>
      </c>
      <c r="Q27" s="856">
        <v>76</v>
      </c>
      <c r="R27" s="857">
        <v>11497599.99</v>
      </c>
      <c r="S27" s="857">
        <v>944290.76</v>
      </c>
      <c r="T27" s="858">
        <v>42965.11</v>
      </c>
      <c r="U27" s="856"/>
      <c r="V27" s="857"/>
      <c r="W27" s="857"/>
      <c r="X27" s="858"/>
      <c r="Y27" s="856">
        <v>18</v>
      </c>
      <c r="Z27" s="857">
        <v>28983871.31</v>
      </c>
      <c r="AA27" s="857">
        <v>1420302.34</v>
      </c>
      <c r="AB27" s="858">
        <v>321328.28</v>
      </c>
      <c r="AC27" s="856"/>
      <c r="AD27" s="857"/>
      <c r="AE27" s="857"/>
      <c r="AF27" s="858"/>
      <c r="AG27" s="850"/>
      <c r="AH27" s="850"/>
      <c r="AI27" s="850"/>
    </row>
    <row r="28" spans="1:35" ht="14.25">
      <c r="A28" s="285" t="s">
        <v>1028</v>
      </c>
      <c r="B28" s="286"/>
      <c r="C28" s="287">
        <f>'Fecha de pago'!C74</f>
        <v>189686</v>
      </c>
      <c r="D28" s="39"/>
      <c r="E28" s="319" t="s">
        <v>1495</v>
      </c>
      <c r="F28" s="372">
        <v>4.03</v>
      </c>
      <c r="G28" s="378">
        <v>2.1317510616951116</v>
      </c>
      <c r="P28" s="852" t="s">
        <v>1229</v>
      </c>
      <c r="Q28" s="856">
        <v>102</v>
      </c>
      <c r="R28" s="857">
        <v>3576989.15</v>
      </c>
      <c r="S28" s="857">
        <v>539982.3</v>
      </c>
      <c r="T28" s="858">
        <v>87254.35</v>
      </c>
      <c r="U28" s="856">
        <v>3</v>
      </c>
      <c r="V28" s="857">
        <v>194469.13</v>
      </c>
      <c r="W28" s="857">
        <v>192359.79</v>
      </c>
      <c r="X28" s="858"/>
      <c r="Y28" s="856">
        <v>14</v>
      </c>
      <c r="Z28" s="857">
        <v>3588810.14</v>
      </c>
      <c r="AA28" s="857">
        <v>39895.69</v>
      </c>
      <c r="AB28" s="858">
        <v>31330.03</v>
      </c>
      <c r="AC28" s="856"/>
      <c r="AD28" s="857"/>
      <c r="AE28" s="857"/>
      <c r="AF28" s="858"/>
      <c r="AG28" s="850"/>
      <c r="AH28" s="850"/>
      <c r="AI28" s="850"/>
    </row>
    <row r="29" spans="1:35" ht="15" thickBot="1">
      <c r="A29" s="293" t="s">
        <v>1474</v>
      </c>
      <c r="B29" s="294"/>
      <c r="C29" s="295">
        <v>0</v>
      </c>
      <c r="D29" s="39"/>
      <c r="E29" s="373" t="s">
        <v>19</v>
      </c>
      <c r="F29" s="374">
        <v>4.03</v>
      </c>
      <c r="G29" s="379">
        <v>2.1317510616951116</v>
      </c>
      <c r="P29" s="852" t="s">
        <v>1230</v>
      </c>
      <c r="Q29" s="856">
        <v>131</v>
      </c>
      <c r="R29" s="857">
        <v>2794103.03</v>
      </c>
      <c r="S29" s="857">
        <v>449703.57</v>
      </c>
      <c r="T29" s="858">
        <v>47238.65</v>
      </c>
      <c r="U29" s="856">
        <v>31</v>
      </c>
      <c r="V29" s="857">
        <v>1056702.42</v>
      </c>
      <c r="W29" s="857">
        <v>1036532.38</v>
      </c>
      <c r="X29" s="858"/>
      <c r="Y29" s="856">
        <v>5</v>
      </c>
      <c r="Z29" s="857">
        <v>1911941.14</v>
      </c>
      <c r="AA29" s="857">
        <v>1078293.93</v>
      </c>
      <c r="AB29" s="858">
        <v>23564.36</v>
      </c>
      <c r="AC29" s="856">
        <v>4</v>
      </c>
      <c r="AD29" s="857">
        <v>915250.24</v>
      </c>
      <c r="AE29" s="857">
        <v>900367.43</v>
      </c>
      <c r="AF29" s="858"/>
      <c r="AG29" s="850"/>
      <c r="AH29" s="850"/>
      <c r="AI29" s="850"/>
    </row>
    <row r="30" spans="4:35" ht="15" thickTop="1">
      <c r="D30" s="39"/>
      <c r="E30" s="303"/>
      <c r="F30" s="304"/>
      <c r="G30" s="304"/>
      <c r="P30" s="852" t="s">
        <v>1231</v>
      </c>
      <c r="Q30" s="856">
        <v>45</v>
      </c>
      <c r="R30" s="857">
        <v>859777.52</v>
      </c>
      <c r="S30" s="857">
        <v>116072.27</v>
      </c>
      <c r="T30" s="858">
        <v>11341.99</v>
      </c>
      <c r="U30" s="856">
        <v>37</v>
      </c>
      <c r="V30" s="857">
        <v>624829.69</v>
      </c>
      <c r="W30" s="857">
        <v>615656.48</v>
      </c>
      <c r="X30" s="858"/>
      <c r="Y30" s="856">
        <v>1</v>
      </c>
      <c r="Z30" s="857">
        <v>423678.63</v>
      </c>
      <c r="AA30" s="857">
        <v>5988.24</v>
      </c>
      <c r="AB30" s="858">
        <v>3623.76</v>
      </c>
      <c r="AC30" s="856"/>
      <c r="AD30" s="857"/>
      <c r="AE30" s="857"/>
      <c r="AF30" s="858"/>
      <c r="AG30" s="850"/>
      <c r="AH30" s="850"/>
      <c r="AI30" s="850"/>
    </row>
    <row r="31" spans="4:35" ht="15" thickBot="1">
      <c r="D31" s="39"/>
      <c r="E31" s="303"/>
      <c r="F31" s="304"/>
      <c r="G31" s="304"/>
      <c r="P31" s="852" t="s">
        <v>1232</v>
      </c>
      <c r="Q31" s="859">
        <v>0</v>
      </c>
      <c r="R31" s="860">
        <v>0</v>
      </c>
      <c r="S31" s="860">
        <v>0</v>
      </c>
      <c r="T31" s="861">
        <v>0</v>
      </c>
      <c r="U31" s="859">
        <v>0</v>
      </c>
      <c r="V31" s="860">
        <v>0</v>
      </c>
      <c r="W31" s="860">
        <v>0</v>
      </c>
      <c r="X31" s="861"/>
      <c r="Y31" s="859">
        <v>0</v>
      </c>
      <c r="Z31" s="860">
        <v>0</v>
      </c>
      <c r="AA31" s="860">
        <v>0</v>
      </c>
      <c r="AB31" s="861">
        <v>0</v>
      </c>
      <c r="AC31" s="859"/>
      <c r="AD31" s="860"/>
      <c r="AE31" s="860"/>
      <c r="AF31" s="861"/>
      <c r="AG31" s="850"/>
      <c r="AH31" s="850"/>
      <c r="AI31" s="850"/>
    </row>
    <row r="32" spans="1:35" ht="19.5" thickBot="1" thickTop="1">
      <c r="A32" s="1060" t="s">
        <v>1057</v>
      </c>
      <c r="B32" s="1061"/>
      <c r="C32" s="1061"/>
      <c r="D32" s="1061"/>
      <c r="E32" s="1061"/>
      <c r="F32" s="1061"/>
      <c r="G32" s="1062"/>
      <c r="P32" s="850"/>
      <c r="Q32" s="850"/>
      <c r="R32" s="850"/>
      <c r="S32" s="850"/>
      <c r="T32" s="850"/>
      <c r="U32" s="850"/>
      <c r="V32" s="850"/>
      <c r="W32" s="850"/>
      <c r="X32" s="850"/>
      <c r="Y32" s="850"/>
      <c r="Z32" s="850"/>
      <c r="AA32" s="850"/>
      <c r="AB32" s="850"/>
      <c r="AC32" s="850"/>
      <c r="AD32" s="850"/>
      <c r="AE32" s="850"/>
      <c r="AF32" s="850"/>
      <c r="AG32" s="850"/>
      <c r="AH32" s="850"/>
      <c r="AI32" s="850"/>
    </row>
    <row r="33" spans="1:35" ht="18">
      <c r="A33" s="1063">
        <f>$A$10</f>
        <v>40350</v>
      </c>
      <c r="B33" s="1063"/>
      <c r="C33" s="1063"/>
      <c r="D33" s="1063"/>
      <c r="E33" s="1063"/>
      <c r="F33" s="1063"/>
      <c r="G33" s="1063"/>
      <c r="P33" s="850"/>
      <c r="Q33" s="850"/>
      <c r="R33" s="850"/>
      <c r="S33" s="850"/>
      <c r="T33" s="850"/>
      <c r="U33" s="850"/>
      <c r="V33" s="850"/>
      <c r="W33" s="850"/>
      <c r="X33" s="850"/>
      <c r="Y33" s="850"/>
      <c r="Z33" s="850"/>
      <c r="AA33" s="850"/>
      <c r="AB33" s="850"/>
      <c r="AC33" s="850"/>
      <c r="AD33" s="850"/>
      <c r="AE33" s="850"/>
      <c r="AF33" s="850"/>
      <c r="AG33" s="850"/>
      <c r="AH33" s="850"/>
      <c r="AI33" s="850"/>
    </row>
    <row r="34" spans="4:35" ht="14.25">
      <c r="D34" s="39"/>
      <c r="E34" s="303"/>
      <c r="F34" s="304"/>
      <c r="G34" s="304"/>
      <c r="P34" s="850"/>
      <c r="Q34" s="850"/>
      <c r="R34" s="850"/>
      <c r="S34" s="850"/>
      <c r="T34" s="850"/>
      <c r="U34" s="850"/>
      <c r="V34" s="850"/>
      <c r="W34" s="850"/>
      <c r="X34" s="850"/>
      <c r="Y34" s="850"/>
      <c r="Z34" s="850"/>
      <c r="AA34" s="850"/>
      <c r="AB34" s="850"/>
      <c r="AC34" s="850"/>
      <c r="AD34" s="850"/>
      <c r="AE34" s="850"/>
      <c r="AF34" s="850"/>
      <c r="AG34" s="850"/>
      <c r="AH34" s="850"/>
      <c r="AI34" s="850"/>
    </row>
    <row r="35" spans="2:35" ht="15.75" thickBot="1">
      <c r="B35" s="305"/>
      <c r="C35" s="306"/>
      <c r="D35" s="39"/>
      <c r="P35" s="850"/>
      <c r="Q35" s="850"/>
      <c r="R35" s="850"/>
      <c r="S35" s="850"/>
      <c r="T35" s="850"/>
      <c r="U35" s="850"/>
      <c r="V35" s="850"/>
      <c r="W35" s="850"/>
      <c r="X35" s="850"/>
      <c r="Y35" s="850"/>
      <c r="Z35" s="850"/>
      <c r="AA35" s="850"/>
      <c r="AB35" s="850"/>
      <c r="AC35" s="850"/>
      <c r="AD35" s="850"/>
      <c r="AE35" s="850"/>
      <c r="AF35" s="850"/>
      <c r="AG35" s="850"/>
      <c r="AH35" s="850"/>
      <c r="AI35" s="850"/>
    </row>
    <row r="36" spans="1:35" ht="15.75" thickBot="1" thickTop="1">
      <c r="A36" s="1068" t="s">
        <v>635</v>
      </c>
      <c r="B36" s="1069"/>
      <c r="C36" s="1070"/>
      <c r="D36" s="39"/>
      <c r="E36" s="1068" t="s">
        <v>636</v>
      </c>
      <c r="F36" s="1069"/>
      <c r="G36" s="1070"/>
      <c r="P36" s="850"/>
      <c r="Q36" s="850"/>
      <c r="R36" s="850"/>
      <c r="S36" s="850"/>
      <c r="T36" s="850"/>
      <c r="U36" s="850"/>
      <c r="V36" s="850"/>
      <c r="W36" s="850"/>
      <c r="X36" s="850"/>
      <c r="Y36" s="850"/>
      <c r="Z36" s="850"/>
      <c r="AA36" s="850"/>
      <c r="AB36" s="850"/>
      <c r="AC36" s="850"/>
      <c r="AD36" s="850"/>
      <c r="AE36" s="850"/>
      <c r="AF36" s="850"/>
      <c r="AG36" s="850"/>
      <c r="AH36" s="850"/>
      <c r="AI36" s="850"/>
    </row>
    <row r="37" spans="1:35" ht="15" thickTop="1">
      <c r="A37" s="1079" t="str">
        <f>+A13</f>
        <v>Saldo anterior</v>
      </c>
      <c r="B37" s="1080"/>
      <c r="C37" s="281">
        <f>'Fecha de pago'!F6</f>
        <v>634407457.0699999</v>
      </c>
      <c r="D37" s="39"/>
      <c r="E37" s="1079" t="s">
        <v>402</v>
      </c>
      <c r="F37" s="1080"/>
      <c r="G37" s="281">
        <f>'mis calculos'!C4</f>
        <v>3660741.58</v>
      </c>
      <c r="M37" s="61"/>
      <c r="P37" s="850"/>
      <c r="Q37" s="850"/>
      <c r="R37" s="850"/>
      <c r="S37" s="850"/>
      <c r="T37" s="850"/>
      <c r="U37" s="850"/>
      <c r="V37" s="850"/>
      <c r="W37" s="850"/>
      <c r="X37" s="850"/>
      <c r="Y37" s="850"/>
      <c r="Z37" s="850"/>
      <c r="AA37" s="850"/>
      <c r="AB37" s="850"/>
      <c r="AC37" s="850"/>
      <c r="AD37" s="850"/>
      <c r="AE37" s="850"/>
      <c r="AF37" s="850"/>
      <c r="AG37" s="850"/>
      <c r="AH37" s="850"/>
      <c r="AI37" s="850"/>
    </row>
    <row r="38" spans="1:35" ht="15" thickBot="1">
      <c r="A38" s="1077" t="str">
        <f>+A14</f>
        <v>Amortizaciones</v>
      </c>
      <c r="B38" s="1078"/>
      <c r="C38" s="287">
        <f>+C37-C39</f>
        <v>81069582.32000005</v>
      </c>
      <c r="D38" s="39"/>
      <c r="E38" s="1075" t="s">
        <v>403</v>
      </c>
      <c r="F38" s="1076"/>
      <c r="G38" s="324">
        <f>M55*0+1223995.3</f>
        <v>1223995.3</v>
      </c>
      <c r="M38" s="61"/>
      <c r="P38" s="850"/>
      <c r="Q38" s="850"/>
      <c r="R38" s="850"/>
      <c r="S38" s="850"/>
      <c r="T38" s="850"/>
      <c r="U38" s="850"/>
      <c r="V38" s="850"/>
      <c r="W38" s="850"/>
      <c r="X38" s="850"/>
      <c r="Y38" s="850"/>
      <c r="Z38" s="850"/>
      <c r="AA38" s="850"/>
      <c r="AB38" s="850"/>
      <c r="AC38" s="850"/>
      <c r="AD38" s="850"/>
      <c r="AE38" s="850"/>
      <c r="AF38" s="850"/>
      <c r="AG38" s="850"/>
      <c r="AH38" s="850"/>
      <c r="AI38" s="850"/>
    </row>
    <row r="39" spans="1:35" ht="14.25" thickBot="1" thickTop="1">
      <c r="A39" s="1077" t="str">
        <f>+A15</f>
        <v>Saldo actual</v>
      </c>
      <c r="B39" s="1078"/>
      <c r="C39" s="302">
        <f>'Fecha de pago'!F28</f>
        <v>553337874.7499999</v>
      </c>
      <c r="F39" s="411"/>
      <c r="G39" s="410"/>
      <c r="P39" s="850"/>
      <c r="Q39" s="850"/>
      <c r="R39" s="850"/>
      <c r="S39" s="850"/>
      <c r="T39" s="850"/>
      <c r="U39" s="850"/>
      <c r="V39" s="850"/>
      <c r="W39" s="850"/>
      <c r="X39" s="850"/>
      <c r="Y39" s="850"/>
      <c r="Z39" s="850"/>
      <c r="AA39" s="850"/>
      <c r="AB39" s="850"/>
      <c r="AC39" s="850"/>
      <c r="AD39" s="850"/>
      <c r="AE39" s="850"/>
      <c r="AF39" s="850"/>
      <c r="AG39" s="850"/>
      <c r="AH39" s="850"/>
      <c r="AI39" s="850"/>
    </row>
    <row r="40" spans="1:35" ht="15" thickBot="1">
      <c r="A40" s="1071" t="s">
        <v>404</v>
      </c>
      <c r="B40" s="1072"/>
      <c r="C40" s="307">
        <v>5216</v>
      </c>
      <c r="K40" s="403" t="s">
        <v>101</v>
      </c>
      <c r="L40" s="404" t="s">
        <v>513</v>
      </c>
      <c r="P40" s="1108" t="s">
        <v>1213</v>
      </c>
      <c r="Q40" s="1108"/>
      <c r="R40" s="1108"/>
      <c r="S40" s="1108"/>
      <c r="T40" s="1108"/>
      <c r="U40" s="1108"/>
      <c r="V40" s="850"/>
      <c r="W40" s="850"/>
      <c r="X40" s="850"/>
      <c r="Y40" s="850"/>
      <c r="Z40" s="850"/>
      <c r="AA40" s="850"/>
      <c r="AB40" s="850"/>
      <c r="AC40" s="850"/>
      <c r="AD40" s="850"/>
      <c r="AE40" s="850"/>
      <c r="AF40" s="850"/>
      <c r="AG40" s="850"/>
      <c r="AH40" s="850"/>
      <c r="AI40" s="850"/>
    </row>
    <row r="41" spans="1:35" ht="13.5" thickBot="1">
      <c r="A41" s="1077" t="s">
        <v>347</v>
      </c>
      <c r="B41" s="1078"/>
      <c r="C41" s="929">
        <v>192156975.21</v>
      </c>
      <c r="P41" s="850"/>
      <c r="Q41" s="862" t="s">
        <v>1214</v>
      </c>
      <c r="R41" s="862" t="s">
        <v>1215</v>
      </c>
      <c r="S41" s="862" t="s">
        <v>1216</v>
      </c>
      <c r="T41" s="862" t="s">
        <v>1217</v>
      </c>
      <c r="U41" s="862" t="s">
        <v>1218</v>
      </c>
      <c r="V41" s="850"/>
      <c r="W41" s="850"/>
      <c r="X41" s="850"/>
      <c r="Y41" s="850"/>
      <c r="Z41" s="850"/>
      <c r="AA41" s="850"/>
      <c r="AB41" s="850"/>
      <c r="AC41" s="850"/>
      <c r="AD41" s="850"/>
      <c r="AE41" s="850"/>
      <c r="AF41" s="850"/>
      <c r="AG41" s="850"/>
      <c r="AH41" s="850"/>
      <c r="AI41" s="850"/>
    </row>
    <row r="42" spans="1:35" ht="15" thickBot="1">
      <c r="A42" s="1077" t="str">
        <f>+A38</f>
        <v>Amortizaciones</v>
      </c>
      <c r="B42" s="1078"/>
      <c r="C42" s="930">
        <f>+C41-C43</f>
        <v>10044947.530000001</v>
      </c>
      <c r="E42" s="1125" t="s">
        <v>20</v>
      </c>
      <c r="F42" s="1126"/>
      <c r="G42" s="1127"/>
      <c r="K42" s="534" t="s">
        <v>104</v>
      </c>
      <c r="L42" s="535" t="s">
        <v>898</v>
      </c>
      <c r="M42" s="536">
        <f ca="1">-OFFSET('BALANCE-DEVENGO'!$A$7,MATCH(K42,'BALANCE-DEVENGO'!$A$8:$A$350,0),7)</f>
        <v>5729054.2</v>
      </c>
      <c r="P42" s="863" t="s">
        <v>1219</v>
      </c>
      <c r="Q42" s="857">
        <v>19714474.32</v>
      </c>
      <c r="R42" s="857">
        <v>973670.92</v>
      </c>
      <c r="S42" s="857">
        <v>2364593.1</v>
      </c>
      <c r="T42" s="857">
        <v>579877.99</v>
      </c>
      <c r="U42" s="857">
        <f>1527997.5+122060.51</f>
        <v>1650058.01</v>
      </c>
      <c r="V42" s="850"/>
      <c r="W42" s="850"/>
      <c r="X42" s="850"/>
      <c r="Y42" s="850"/>
      <c r="Z42" s="850"/>
      <c r="AA42" s="850"/>
      <c r="AB42" s="850"/>
      <c r="AC42" s="850"/>
      <c r="AD42" s="850"/>
      <c r="AE42" s="850"/>
      <c r="AF42" s="850"/>
      <c r="AG42" s="850"/>
      <c r="AH42" s="850"/>
      <c r="AI42" s="850"/>
    </row>
    <row r="43" spans="1:35" ht="12.75">
      <c r="A43" s="1077" t="s">
        <v>638</v>
      </c>
      <c r="B43" s="1078"/>
      <c r="C43" s="302">
        <f ca="1">OFFSET(BALANCE!$A$7,MATCH(K40,BALANCE!A8:A350,0),4)</f>
        <v>182112027.68</v>
      </c>
      <c r="E43" s="350" t="s">
        <v>388</v>
      </c>
      <c r="F43" s="934"/>
      <c r="G43" s="936">
        <v>1585495.56</v>
      </c>
      <c r="K43" s="537"/>
      <c r="L43" s="538"/>
      <c r="M43" s="539"/>
      <c r="P43" s="864"/>
      <c r="Q43" s="857"/>
      <c r="R43" s="857"/>
      <c r="S43" s="857"/>
      <c r="T43" s="857"/>
      <c r="U43" s="857"/>
      <c r="V43" s="850"/>
      <c r="W43" s="850"/>
      <c r="X43" s="850"/>
      <c r="Y43" s="850"/>
      <c r="Z43" s="850"/>
      <c r="AA43" s="850"/>
      <c r="AB43" s="850"/>
      <c r="AC43" s="850"/>
      <c r="AD43" s="850"/>
      <c r="AE43" s="850"/>
      <c r="AF43" s="850"/>
      <c r="AG43" s="850"/>
      <c r="AH43" s="850"/>
      <c r="AI43" s="850"/>
    </row>
    <row r="44" spans="1:35" ht="13.5" thickBot="1">
      <c r="A44" s="1075" t="s">
        <v>454</v>
      </c>
      <c r="B44" s="1076"/>
      <c r="C44" s="308">
        <f>+B248</f>
        <v>0.4939</v>
      </c>
      <c r="E44" s="932" t="s">
        <v>390</v>
      </c>
      <c r="F44" s="402"/>
      <c r="G44" s="933">
        <f>+G45-G43</f>
        <v>-349243.51000000024</v>
      </c>
      <c r="K44" s="537"/>
      <c r="L44" s="538"/>
      <c r="M44" s="539"/>
      <c r="P44" s="864"/>
      <c r="Q44" s="857"/>
      <c r="R44" s="857"/>
      <c r="S44" s="857"/>
      <c r="T44" s="857"/>
      <c r="U44" s="857"/>
      <c r="V44" s="850"/>
      <c r="W44" s="850"/>
      <c r="X44" s="850"/>
      <c r="Y44" s="850"/>
      <c r="Z44" s="850"/>
      <c r="AA44" s="850"/>
      <c r="AB44" s="850"/>
      <c r="AC44" s="850"/>
      <c r="AD44" s="850"/>
      <c r="AE44" s="850"/>
      <c r="AF44" s="850"/>
      <c r="AG44" s="850"/>
      <c r="AH44" s="850"/>
      <c r="AI44" s="850"/>
    </row>
    <row r="45" spans="1:35" ht="14.25" thickBot="1" thickTop="1">
      <c r="A45" s="927"/>
      <c r="B45" s="927"/>
      <c r="C45" s="928"/>
      <c r="E45" s="693" t="s">
        <v>118</v>
      </c>
      <c r="F45" s="935"/>
      <c r="G45" s="931">
        <f>M58</f>
        <v>1236252.0499999998</v>
      </c>
      <c r="K45" s="537"/>
      <c r="L45" s="538"/>
      <c r="M45" s="539"/>
      <c r="P45" s="864"/>
      <c r="Q45" s="857"/>
      <c r="R45" s="857"/>
      <c r="S45" s="857"/>
      <c r="T45" s="857"/>
      <c r="U45" s="857"/>
      <c r="V45" s="850"/>
      <c r="W45" s="850"/>
      <c r="X45" s="850"/>
      <c r="Y45" s="850"/>
      <c r="Z45" s="850"/>
      <c r="AA45" s="850"/>
      <c r="AB45" s="850"/>
      <c r="AC45" s="850"/>
      <c r="AD45" s="850"/>
      <c r="AE45" s="850"/>
      <c r="AF45" s="850"/>
      <c r="AG45" s="850"/>
      <c r="AH45" s="850"/>
      <c r="AI45" s="850"/>
    </row>
    <row r="46" spans="3:35" ht="13.5" thickBot="1">
      <c r="C46" s="316">
        <f>SUM(C52:G52)</f>
        <v>35089134.800000004</v>
      </c>
      <c r="D46" s="418">
        <f>+C46/C39</f>
        <v>0.06341357857683862</v>
      </c>
      <c r="K46" s="537" t="s">
        <v>108</v>
      </c>
      <c r="L46" s="538" t="s">
        <v>930</v>
      </c>
      <c r="M46" s="539">
        <f ca="1">OFFSET('BALANCE-DEVENGO'!$A$7,MATCH(K46,'BALANCE-DEVENGO'!$A$8:$A$350,0),7)</f>
        <v>0</v>
      </c>
      <c r="P46" s="864" t="s">
        <v>1220</v>
      </c>
      <c r="Q46" s="857">
        <v>538024.95</v>
      </c>
      <c r="R46" s="857">
        <v>171016.33</v>
      </c>
      <c r="S46" s="857">
        <v>364293.39</v>
      </c>
      <c r="T46" s="857">
        <v>118584.38</v>
      </c>
      <c r="U46" s="857">
        <f>70803.01+14965.75</f>
        <v>85768.76</v>
      </c>
      <c r="V46" s="850"/>
      <c r="W46" s="850"/>
      <c r="X46" s="850"/>
      <c r="Y46" s="850"/>
      <c r="Z46" s="850"/>
      <c r="AA46" s="850"/>
      <c r="AB46" s="850"/>
      <c r="AC46" s="850"/>
      <c r="AD46" s="850"/>
      <c r="AE46" s="850"/>
      <c r="AF46" s="850"/>
      <c r="AG46" s="850"/>
      <c r="AH46" s="850"/>
      <c r="AI46" s="850"/>
    </row>
    <row r="47" spans="1:35" ht="14.25" thickBot="1" thickTop="1">
      <c r="A47" s="1068" t="s">
        <v>637</v>
      </c>
      <c r="B47" s="1069"/>
      <c r="C47" s="1069"/>
      <c r="D47" s="1069"/>
      <c r="E47" s="1069"/>
      <c r="F47" s="1069"/>
      <c r="G47" s="1070"/>
      <c r="K47" s="537" t="s">
        <v>107</v>
      </c>
      <c r="L47" s="538" t="s">
        <v>928</v>
      </c>
      <c r="M47" s="539">
        <f ca="1">OFFSET('BALANCE-DEVENGO'!$A$7,MATCH(K47,'BALANCE-DEVENGO'!$A$8:$A$350,0),7)</f>
        <v>-103738.78</v>
      </c>
      <c r="P47" s="864" t="s">
        <v>1221</v>
      </c>
      <c r="Q47" s="857">
        <v>49982868.13</v>
      </c>
      <c r="R47" s="857">
        <v>20934532.88</v>
      </c>
      <c r="S47" s="857">
        <v>40481471.3</v>
      </c>
      <c r="T47" s="857">
        <v>7165799.29</v>
      </c>
      <c r="U47" s="857">
        <f>4706044.17+1283456.14</f>
        <v>5989500.31</v>
      </c>
      <c r="V47" s="850"/>
      <c r="W47" s="850"/>
      <c r="X47" s="850"/>
      <c r="Y47" s="850"/>
      <c r="Z47" s="850"/>
      <c r="AA47" s="850"/>
      <c r="AB47" s="850"/>
      <c r="AC47" s="850"/>
      <c r="AD47" s="850"/>
      <c r="AE47" s="850"/>
      <c r="AF47" s="850"/>
      <c r="AG47" s="850"/>
      <c r="AH47" s="850"/>
      <c r="AI47" s="850"/>
    </row>
    <row r="48" spans="1:35" ht="13.5" thickTop="1">
      <c r="A48" s="1073" t="s">
        <v>455</v>
      </c>
      <c r="B48" s="1073"/>
      <c r="C48" s="1073" t="s">
        <v>456</v>
      </c>
      <c r="D48" s="1073" t="s">
        <v>457</v>
      </c>
      <c r="E48" s="1073" t="s">
        <v>458</v>
      </c>
      <c r="F48" s="1073" t="s">
        <v>459</v>
      </c>
      <c r="G48" s="1073" t="s">
        <v>1063</v>
      </c>
      <c r="K48" s="537" t="s">
        <v>620</v>
      </c>
      <c r="L48" s="538" t="s">
        <v>614</v>
      </c>
      <c r="M48" s="539">
        <f ca="1">OFFSET('BALANCE-DEVENGO'!$A$7,MATCH(K48,'BALANCE-DEVENGO'!$A$8:$A$350,0),7)</f>
        <v>0</v>
      </c>
      <c r="P48" s="864" t="s">
        <v>1222</v>
      </c>
      <c r="Q48" s="865">
        <v>741</v>
      </c>
      <c r="R48" s="865">
        <v>203</v>
      </c>
      <c r="S48" s="865">
        <v>94</v>
      </c>
      <c r="T48" s="865">
        <v>116</v>
      </c>
      <c r="U48" s="865">
        <v>136</v>
      </c>
      <c r="V48" s="850"/>
      <c r="W48" s="850"/>
      <c r="X48" s="850"/>
      <c r="Y48" s="850"/>
      <c r="Z48" s="850"/>
      <c r="AA48" s="850"/>
      <c r="AB48" s="850"/>
      <c r="AC48" s="850"/>
      <c r="AD48" s="850"/>
      <c r="AE48" s="850"/>
      <c r="AF48" s="850"/>
      <c r="AG48" s="850"/>
      <c r="AH48" s="850"/>
      <c r="AI48" s="850"/>
    </row>
    <row r="49" spans="1:35" ht="13.5" thickBot="1">
      <c r="A49" s="1074"/>
      <c r="B49" s="1074"/>
      <c r="C49" s="1074"/>
      <c r="D49" s="1074"/>
      <c r="E49" s="1074"/>
      <c r="F49" s="1074"/>
      <c r="G49" s="1074"/>
      <c r="K49" s="537" t="s">
        <v>106</v>
      </c>
      <c r="L49" s="538" t="s">
        <v>382</v>
      </c>
      <c r="M49" s="539">
        <f ca="1">OFFSET('BALANCE-DEVENGO'!$A$7,MATCH(K49,'BALANCE-DEVENGO'!$A$8:$A$350,0),7)</f>
        <v>-2602562.79</v>
      </c>
      <c r="P49" s="866" t="s">
        <v>1223</v>
      </c>
      <c r="Q49" s="867" t="s">
        <v>1224</v>
      </c>
      <c r="R49" s="867" t="s">
        <v>1224</v>
      </c>
      <c r="S49" s="867" t="s">
        <v>1224</v>
      </c>
      <c r="T49" s="867" t="s">
        <v>1224</v>
      </c>
      <c r="U49" s="867" t="s">
        <v>1224</v>
      </c>
      <c r="V49" s="850"/>
      <c r="W49" s="850"/>
      <c r="X49" s="850"/>
      <c r="Y49" s="850"/>
      <c r="Z49" s="850"/>
      <c r="AA49" s="850"/>
      <c r="AB49" s="850"/>
      <c r="AC49" s="850"/>
      <c r="AD49" s="850"/>
      <c r="AE49" s="850"/>
      <c r="AF49" s="850"/>
      <c r="AG49" s="850"/>
      <c r="AH49" s="850"/>
      <c r="AI49" s="850"/>
    </row>
    <row r="50" spans="1:35" ht="13.5" thickTop="1">
      <c r="A50" s="1137" t="s">
        <v>962</v>
      </c>
      <c r="B50" s="1138"/>
      <c r="C50" s="309">
        <f>T68</f>
        <v>875478.86</v>
      </c>
      <c r="D50" s="310">
        <f>T72</f>
        <v>497911.7</v>
      </c>
      <c r="E50" s="310">
        <f>T76</f>
        <v>374885.31</v>
      </c>
      <c r="F50" s="310">
        <f>T80</f>
        <v>1053849.17</v>
      </c>
      <c r="G50" s="311">
        <f>T84</f>
        <v>1324375.9</v>
      </c>
      <c r="K50" s="537" t="s">
        <v>932</v>
      </c>
      <c r="L50" s="538" t="s">
        <v>623</v>
      </c>
      <c r="M50" s="539">
        <f ca="1">OFFSET('BALANCE-DEVENGO'!$A$7,MATCH(K50,'BALANCE-DEVENGO'!$A$8:$A$350,0),7)</f>
        <v>-1621338.01</v>
      </c>
      <c r="P50" s="850"/>
      <c r="Q50" s="850"/>
      <c r="R50" s="850"/>
      <c r="S50" s="850"/>
      <c r="T50" s="850"/>
      <c r="U50" s="850"/>
      <c r="V50" s="850"/>
      <c r="W50" s="850"/>
      <c r="X50" s="850"/>
      <c r="Y50" s="850"/>
      <c r="Z50" s="850"/>
      <c r="AA50" s="850"/>
      <c r="AB50" s="850"/>
      <c r="AC50" s="850"/>
      <c r="AD50" s="850"/>
      <c r="AE50" s="850"/>
      <c r="AF50" s="850"/>
      <c r="AG50" s="850"/>
      <c r="AH50" s="850"/>
      <c r="AI50" s="850"/>
    </row>
    <row r="51" spans="1:13" ht="12.75">
      <c r="A51" s="1133" t="s">
        <v>1502</v>
      </c>
      <c r="B51" s="1134"/>
      <c r="C51" s="309">
        <f>T69</f>
        <v>58422.15</v>
      </c>
      <c r="D51" s="310">
        <f>T73</f>
        <v>34679.04</v>
      </c>
      <c r="E51" s="310">
        <f>T77</f>
        <v>21957.31</v>
      </c>
      <c r="F51" s="310">
        <f>T81</f>
        <v>44621.99</v>
      </c>
      <c r="G51" s="311">
        <f>T85</f>
        <v>77637.16</v>
      </c>
      <c r="K51" s="537" t="s">
        <v>621</v>
      </c>
      <c r="L51" s="538" t="s">
        <v>622</v>
      </c>
      <c r="M51" s="539">
        <f ca="1">OFFSET('BALANCE-DEVENGO'!$A$7,MATCH(K51,'BALANCE-DEVENGO'!$A$8:$A$350,0),7)</f>
        <v>-158.53</v>
      </c>
    </row>
    <row r="52" spans="1:21" ht="12.75">
      <c r="A52" s="1133" t="s">
        <v>467</v>
      </c>
      <c r="B52" s="1134"/>
      <c r="C52" s="309">
        <f>T70</f>
        <v>12909714.66</v>
      </c>
      <c r="D52" s="310">
        <f>T74</f>
        <v>7967736.33</v>
      </c>
      <c r="E52" s="310">
        <f>T78</f>
        <v>5838740.92</v>
      </c>
      <c r="F52" s="310">
        <f>T82</f>
        <v>3986609.85</v>
      </c>
      <c r="G52" s="311">
        <f>T86-(U86-T90)+G45</f>
        <v>4386333.039999999</v>
      </c>
      <c r="K52" s="537" t="s">
        <v>925</v>
      </c>
      <c r="L52" s="538" t="s">
        <v>926</v>
      </c>
      <c r="M52" s="539">
        <f ca="1">OFFSET('BALANCE-DEVENGO'!$A$7,MATCH(K52,'BALANCE-DEVENGO'!$A$8:$A$350,0),7)</f>
        <v>-19878.72</v>
      </c>
      <c r="U52" s="61">
        <v>5989500.31</v>
      </c>
    </row>
    <row r="53" spans="1:21" ht="12.75">
      <c r="A53" s="1133" t="s">
        <v>468</v>
      </c>
      <c r="B53" s="1134"/>
      <c r="C53" s="312">
        <f>T71</f>
        <v>156</v>
      </c>
      <c r="D53" s="312">
        <f>T75</f>
        <v>89</v>
      </c>
      <c r="E53" s="312">
        <f>T79</f>
        <v>52</v>
      </c>
      <c r="F53" s="312">
        <f>T83</f>
        <v>57</v>
      </c>
      <c r="G53" s="313">
        <f>T87+TRUNC((-(U86-T90)+W86)/'CNMV ESP'!D89)</f>
        <v>80</v>
      </c>
      <c r="K53" s="537" t="s">
        <v>631</v>
      </c>
      <c r="L53" s="538" t="s">
        <v>926</v>
      </c>
      <c r="M53" s="539">
        <f ca="1">OFFSET('BALANCE-DEVENGO'!$A$7,MATCH(K53,'BALANCE-DEVENGO'!$A$8:$A$350,0),7)</f>
        <v>-74117.04</v>
      </c>
      <c r="U53" s="61">
        <v>1812380.69</v>
      </c>
    </row>
    <row r="54" spans="1:21" ht="13.5" thickBot="1">
      <c r="A54" s="1135" t="s">
        <v>469</v>
      </c>
      <c r="B54" s="1136"/>
      <c r="C54" s="314">
        <f>+C52/C39</f>
        <v>0.023330618143268537</v>
      </c>
      <c r="D54" s="314">
        <f>+D52/C39</f>
        <v>0.014399405306567624</v>
      </c>
      <c r="E54" s="314">
        <f>+E52/C39</f>
        <v>0.010551854818609633</v>
      </c>
      <c r="F54" s="314">
        <f>+F52/C39</f>
        <v>0.00720465746502743</v>
      </c>
      <c r="G54" s="315">
        <f>+G52/C39</f>
        <v>0.007927042843365387</v>
      </c>
      <c r="K54" s="699" t="s">
        <v>1029</v>
      </c>
      <c r="L54" s="700"/>
      <c r="M54" s="701">
        <v>13878744.22</v>
      </c>
      <c r="U54" s="61"/>
    </row>
    <row r="55" spans="3:14" ht="14.25" thickBot="1" thickTop="1">
      <c r="C55" s="316">
        <f>SUM(C52:G52)</f>
        <v>35089134.800000004</v>
      </c>
      <c r="D55" s="961">
        <f>+C55/C39</f>
        <v>0.06341357857683862</v>
      </c>
      <c r="M55" s="540">
        <f>SUM(M42:M53)</f>
        <v>1307260.3299999998</v>
      </c>
      <c r="N55" s="61"/>
    </row>
    <row r="56" spans="1:13" ht="30" customHeight="1" thickBot="1" thickTop="1">
      <c r="A56" s="1093" t="s">
        <v>1064</v>
      </c>
      <c r="B56" s="1128"/>
      <c r="C56" s="1129"/>
      <c r="E56" s="1130" t="s">
        <v>798</v>
      </c>
      <c r="F56" s="1131"/>
      <c r="G56" s="1132"/>
      <c r="M56" s="47" t="s">
        <v>246</v>
      </c>
    </row>
    <row r="57" spans="1:15" ht="14.25" thickBot="1" thickTop="1">
      <c r="A57" s="575" t="str">
        <f>"1.-  Saldo a "&amp;TEXT(J13,"dd mmm aa")</f>
        <v>1.-  Saldo a 12 mar 10</v>
      </c>
      <c r="B57" s="576"/>
      <c r="C57" s="577">
        <v>12126265.77</v>
      </c>
      <c r="D57" s="593"/>
      <c r="E57" s="1118" t="str">
        <f>A57</f>
        <v>1.-  Saldo a 12 mar 10</v>
      </c>
      <c r="F57" s="1119"/>
      <c r="G57" s="577">
        <v>985297.78</v>
      </c>
      <c r="J57" s="892" t="s">
        <v>247</v>
      </c>
      <c r="K57" s="522" t="s">
        <v>564</v>
      </c>
      <c r="L57" s="615" t="s">
        <v>562</v>
      </c>
      <c r="M57" s="868"/>
      <c r="N57" s="848"/>
      <c r="O57" s="345"/>
    </row>
    <row r="58" spans="1:15" ht="13.5" thickBot="1">
      <c r="A58" s="578" t="s">
        <v>797</v>
      </c>
      <c r="B58" s="579"/>
      <c r="C58" s="580">
        <f>+C59-C57</f>
        <v>1286118.9100000001</v>
      </c>
      <c r="D58" s="593"/>
      <c r="E58" s="1064" t="s">
        <v>797</v>
      </c>
      <c r="F58" s="1065"/>
      <c r="G58" s="580">
        <f>+G59-G57</f>
        <v>1039109.97</v>
      </c>
      <c r="K58" s="617"/>
      <c r="L58" s="616" t="s">
        <v>250</v>
      </c>
      <c r="M58" s="869">
        <f ca="1">OFFSET(BALANCE!$A$7,MATCH(K59,BALANCE!$A$8:$A$350,0),7)+OFFSET(BALANCE!$A$7,MATCH(K57,BALANCE!$A$8:$A$350,0),7)-M59</f>
        <v>1236252.0499999998</v>
      </c>
      <c r="N58" s="849" t="s">
        <v>1405</v>
      </c>
      <c r="O58" s="687"/>
    </row>
    <row r="59" spans="1:15" ht="13.5" thickBot="1">
      <c r="A59" s="581" t="str">
        <f>"3.-  Saldo a "&amp;TEXT(G13,"dd mmm aa")</f>
        <v>3.-  Saldo a 14 jun 10</v>
      </c>
      <c r="B59" s="582"/>
      <c r="C59" s="583">
        <f ca="1">(OFFSET(BALANCE!$A$7,MATCH(K59,BALANCE!$A$8:$A$350,0),7)+OFFSET(BALANCE!$A$7,MATCH(K60,BALANCE!$A$8:$A$350,0),7))*0+SUM('Fecha de pago'!D10:D11)</f>
        <v>13412384.68</v>
      </c>
      <c r="D59" s="926">
        <f>+C59/'CNMV ESP'!B88</f>
        <v>0.006706190701208178</v>
      </c>
      <c r="E59" s="1066" t="str">
        <f>A59</f>
        <v>3.-  Saldo a 14 jun 10</v>
      </c>
      <c r="F59" s="1067"/>
      <c r="G59" s="583">
        <f ca="1">OFFSET(BALANCE!$A$7,MATCH(K61,BALANCE!$A$8:$A$350,0),7)</f>
        <v>2024407.75</v>
      </c>
      <c r="J59" s="892" t="s">
        <v>249</v>
      </c>
      <c r="K59" s="522" t="s">
        <v>1340</v>
      </c>
      <c r="L59" s="685" t="s">
        <v>1339</v>
      </c>
      <c r="M59" s="868">
        <f>2325986.38+4705198.96</f>
        <v>7031185.34</v>
      </c>
      <c r="N59" s="848" t="str">
        <f>+N58</f>
        <v>datos a 14/06/2010</v>
      </c>
      <c r="O59" s="345"/>
    </row>
    <row r="60" spans="7:15" ht="14.25" thickBot="1" thickTop="1">
      <c r="G60" s="542"/>
      <c r="J60" s="892" t="s">
        <v>248</v>
      </c>
      <c r="K60" s="522" t="s">
        <v>1343</v>
      </c>
      <c r="L60" s="686" t="s">
        <v>1342</v>
      </c>
      <c r="M60" s="869">
        <f>1527153.86+4854045.48</f>
        <v>6381199.340000001</v>
      </c>
      <c r="N60" s="849" t="str">
        <f>+N59</f>
        <v>datos a 14/06/2010</v>
      </c>
      <c r="O60" s="687"/>
    </row>
    <row r="61" spans="3:12" ht="12.75">
      <c r="C61" s="410"/>
      <c r="G61" s="542"/>
      <c r="K61" s="522" t="s">
        <v>568</v>
      </c>
      <c r="L61" s="523" t="s">
        <v>566</v>
      </c>
    </row>
    <row r="62" spans="3:7" ht="12.75">
      <c r="C62" s="411"/>
      <c r="G62" s="542"/>
    </row>
    <row r="63" spans="1:12" ht="12.75">
      <c r="A63" s="527" t="s">
        <v>1050</v>
      </c>
      <c r="G63" s="542"/>
      <c r="K63" s="522" t="s">
        <v>1340</v>
      </c>
      <c r="L63" s="523" t="s">
        <v>1339</v>
      </c>
    </row>
    <row r="64" ht="13.5" thickBot="1">
      <c r="G64" s="542"/>
    </row>
    <row r="65" spans="1:17" ht="18.75" thickBot="1">
      <c r="A65" s="1060" t="s">
        <v>1448</v>
      </c>
      <c r="B65" s="1061"/>
      <c r="C65" s="1061"/>
      <c r="D65" s="1061"/>
      <c r="E65" s="1061"/>
      <c r="F65" s="1061"/>
      <c r="G65" s="1062"/>
      <c r="K65" s="1054" t="s">
        <v>443</v>
      </c>
      <c r="L65" s="1055"/>
      <c r="M65" s="1056"/>
      <c r="P65" s="924" t="s">
        <v>462</v>
      </c>
      <c r="Q65" s="925" t="s">
        <v>463</v>
      </c>
    </row>
    <row r="66" spans="1:17" ht="42">
      <c r="A66" s="1063">
        <f>+A33</f>
        <v>40350</v>
      </c>
      <c r="B66" s="1063"/>
      <c r="C66" s="1063"/>
      <c r="D66" s="1063"/>
      <c r="E66" s="1063"/>
      <c r="F66" s="1063"/>
      <c r="G66" s="1063"/>
      <c r="J66" s="902" t="s">
        <v>251</v>
      </c>
      <c r="K66" s="688" t="s">
        <v>101</v>
      </c>
      <c r="L66" s="340" t="s">
        <v>513</v>
      </c>
      <c r="M66" s="689">
        <f ca="1">OFFSET(BALANCE!$A$7,MATCH(K66,BALANCE!$A$8:$A$350,0),7)</f>
        <v>182112027.68</v>
      </c>
      <c r="P66" s="924" t="s">
        <v>464</v>
      </c>
      <c r="Q66" s="925" t="s">
        <v>465</v>
      </c>
    </row>
    <row r="67" spans="2:17" ht="13.5" thickBot="1">
      <c r="B67" s="720"/>
      <c r="C67" s="720"/>
      <c r="D67" s="720"/>
      <c r="E67" s="720"/>
      <c r="F67" s="720"/>
      <c r="G67" s="542"/>
      <c r="J67" s="902" t="s">
        <v>251</v>
      </c>
      <c r="K67" s="350" t="s">
        <v>103</v>
      </c>
      <c r="L67" s="303" t="s">
        <v>519</v>
      </c>
      <c r="M67" s="425">
        <f ca="1">OFFSET(BALANCE!$A$7,MATCH(K67,BALANCE!$A$8:$A$350,0),7)</f>
        <v>369129910.63</v>
      </c>
      <c r="P67" s="924" t="s">
        <v>466</v>
      </c>
      <c r="Q67" s="958" t="s">
        <v>600</v>
      </c>
    </row>
    <row r="68" spans="1:20" ht="14.25" thickBot="1" thickTop="1">
      <c r="A68" s="566" t="s">
        <v>1449</v>
      </c>
      <c r="B68" s="567">
        <f ca="1">OFFSET('datos morosidad'!$B$7,ROW()-69,COUNTIF('datos morosidad'!$C$6:$Z$6,"&gt;0")-(6-COLUMN()))</f>
        <v>39965</v>
      </c>
      <c r="C68" s="567">
        <f ca="1">OFFSET('datos morosidad'!$B$7,ROW()-69,COUNTIF('datos morosidad'!$C$6:$Z$6,"&gt;0")-(6-COLUMN()))</f>
        <v>40057</v>
      </c>
      <c r="D68" s="567">
        <f ca="1">OFFSET('datos morosidad'!$B$7,ROW()-69,COUNTIF('datos morosidad'!$C$6:$Z$6,"&gt;0")-(6-COLUMN()))</f>
        <v>40148</v>
      </c>
      <c r="E68" s="567">
        <f ca="1">OFFSET('datos morosidad'!$B$7,ROW()-69,COUNTIF('datos morosidad'!$C$6:$Z$6,"&gt;0")-(6-COLUMN()))</f>
        <v>40238</v>
      </c>
      <c r="F68" s="567">
        <f ca="1">OFFSET('datos morosidad'!$B$7,ROW()-69,COUNTIF('datos morosidad'!$C$6:$Z$6,"&gt;0")-(6-COLUMN()))</f>
        <v>40330</v>
      </c>
      <c r="G68" s="542"/>
      <c r="J68" s="903" t="s">
        <v>247</v>
      </c>
      <c r="K68" s="350" t="s">
        <v>564</v>
      </c>
      <c r="L68" s="303" t="s">
        <v>562</v>
      </c>
      <c r="M68" s="425">
        <f ca="1">OFFSET(BALANCE!$A$7,MATCH(K68,BALANCE!$A$8:$A$350,0),7)</f>
        <v>788590.14</v>
      </c>
      <c r="P68" s="846" t="s">
        <v>405</v>
      </c>
      <c r="Q68" s="962">
        <v>552030528.45</v>
      </c>
      <c r="S68" s="846" t="s">
        <v>419</v>
      </c>
      <c r="T68" s="962">
        <v>875478.86</v>
      </c>
    </row>
    <row r="69" spans="1:20" ht="14.25" thickBot="1" thickTop="1">
      <c r="A69" s="317" t="s">
        <v>1450</v>
      </c>
      <c r="B69" s="568">
        <f ca="1">OFFSET('datos morosidad'!$B$7,ROW()-69,COUNTIF('datos morosidad'!$C$6:$Z$6,"&gt;0")-(6-COLUMN()))</f>
        <v>0.038213255448461166</v>
      </c>
      <c r="C69" s="568">
        <f ca="1">OFFSET('datos morosidad'!$B$7,ROW()-69,COUNTIF('datos morosidad'!$C$6:$Z$6,"&gt;0")-(6-COLUMN()))</f>
        <v>0.05584724126823427</v>
      </c>
      <c r="D69" s="568">
        <f ca="1">OFFSET('datos morosidad'!$B$7,ROW()-69,COUNTIF('datos morosidad'!$C$6:$Z$6,"&gt;0")-(6-COLUMN()))</f>
        <v>0.024881321466683863</v>
      </c>
      <c r="E69" s="568">
        <f ca="1">OFFSET('datos morosidad'!$B$7,ROW()-69,COUNTIF('datos morosidad'!$C$6:$Z$6,"&gt;0")-(6-COLUMN()))</f>
        <v>0.03950944680846389</v>
      </c>
      <c r="F69" s="569">
        <f ca="1">OFFSET('datos morosidad'!$B$7,ROW()-69,COUNTIF('datos morosidad'!$C$6:$Z$6,"&gt;0")-(6-COLUMN()))</f>
        <v>0.023330618143268537</v>
      </c>
      <c r="G69" s="542"/>
      <c r="J69" s="904" t="s">
        <v>249</v>
      </c>
      <c r="K69" s="350" t="s">
        <v>1340</v>
      </c>
      <c r="L69" s="303" t="s">
        <v>488</v>
      </c>
      <c r="M69" s="425">
        <f ca="1">OFFSET(BALANCE!$A$7,MATCH(K69,BALANCE!$A$8:$A$350,0),7)</f>
        <v>7478847.25</v>
      </c>
      <c r="P69" s="846" t="s">
        <v>406</v>
      </c>
      <c r="Q69" s="963">
        <v>12.53</v>
      </c>
      <c r="S69" s="846" t="s">
        <v>420</v>
      </c>
      <c r="T69" s="962">
        <v>58422.15</v>
      </c>
    </row>
    <row r="70" spans="1:20" ht="14.25" thickBot="1" thickTop="1">
      <c r="A70" s="318" t="s">
        <v>1451</v>
      </c>
      <c r="B70" s="570">
        <f ca="1">OFFSET('datos morosidad'!$B$7,ROW()-69,COUNTIF('datos morosidad'!$C$6:$Z$6,"&gt;0")-(6-COLUMN()))</f>
        <v>0.019789031568924417</v>
      </c>
      <c r="C70" s="570">
        <f ca="1">OFFSET('datos morosidad'!$B$7,ROW()-69,COUNTIF('datos morosidad'!$C$6:$Z$6,"&gt;0")-(6-COLUMN()))</f>
        <v>0.01407532035096588</v>
      </c>
      <c r="D70" s="570">
        <f ca="1">OFFSET('datos morosidad'!$B$7,ROW()-69,COUNTIF('datos morosidad'!$C$6:$Z$6,"&gt;0")-(6-COLUMN()))</f>
        <v>0.020456849922766564</v>
      </c>
      <c r="E70" s="570">
        <f ca="1">OFFSET('datos morosidad'!$B$7,ROW()-69,COUNTIF('datos morosidad'!$C$6:$Z$6,"&gt;0")-(6-COLUMN()))</f>
        <v>0.02113812810765926</v>
      </c>
      <c r="F70" s="571">
        <f ca="1">OFFSET('datos morosidad'!$B$7,ROW()-69,COUNTIF('datos morosidad'!$C$6:$Z$6,"&gt;0")-(6-COLUMN()))</f>
        <v>0.014399405306567624</v>
      </c>
      <c r="G70" s="542"/>
      <c r="J70" s="904" t="s">
        <v>248</v>
      </c>
      <c r="K70" s="350" t="s">
        <v>1343</v>
      </c>
      <c r="L70" s="303" t="s">
        <v>488</v>
      </c>
      <c r="M70" s="425">
        <f ca="1">OFFSET(BALANCE!$A$7,MATCH(K70,BALANCE!$A$8:$A$350,0),7)</f>
        <v>7240883.73</v>
      </c>
      <c r="P70" s="846" t="s">
        <v>999</v>
      </c>
      <c r="Q70" s="963">
        <v>0</v>
      </c>
      <c r="S70" s="846" t="s">
        <v>421</v>
      </c>
      <c r="T70" s="962">
        <v>12909714.66</v>
      </c>
    </row>
    <row r="71" spans="1:20" ht="14.25" thickBot="1" thickTop="1">
      <c r="A71" s="318" t="s">
        <v>1452</v>
      </c>
      <c r="B71" s="570">
        <f ca="1">OFFSET('datos morosidad'!$B$7,ROW()-69,COUNTIF('datos morosidad'!$C$6:$Z$6,"&gt;0")-(6-COLUMN()))</f>
        <v>0.016280242604953435</v>
      </c>
      <c r="C71" s="570">
        <f ca="1">OFFSET('datos morosidad'!$B$7,ROW()-69,COUNTIF('datos morosidad'!$C$6:$Z$6,"&gt;0")-(6-COLUMN()))</f>
        <v>0.015657440056754162</v>
      </c>
      <c r="D71" s="570">
        <f ca="1">OFFSET('datos morosidad'!$B$7,ROW()-69,COUNTIF('datos morosidad'!$C$6:$Z$6,"&gt;0")-(6-COLUMN()))</f>
        <v>0.011552199282841532</v>
      </c>
      <c r="E71" s="570">
        <f ca="1">OFFSET('datos morosidad'!$B$7,ROW()-69,COUNTIF('datos morosidad'!$C$6:$Z$6,"&gt;0")-(6-COLUMN()))</f>
        <v>0.009096028279130518</v>
      </c>
      <c r="F71" s="571">
        <f ca="1">OFFSET('datos morosidad'!$B$7,ROW()-69,COUNTIF('datos morosidad'!$C$6:$Z$6,"&gt;0")-(6-COLUMN()))</f>
        <v>0.010551854818609633</v>
      </c>
      <c r="G71" s="542"/>
      <c r="K71" s="350" t="s">
        <v>487</v>
      </c>
      <c r="L71" s="303" t="s">
        <v>488</v>
      </c>
      <c r="M71" s="425">
        <f ca="1">OFFSET(BALANCE!$A$7,MATCH(K71,BALANCE!$A$8:$A$350,0),7)</f>
        <v>0</v>
      </c>
      <c r="P71" s="846" t="s">
        <v>407</v>
      </c>
      <c r="Q71" s="963">
        <v>0</v>
      </c>
      <c r="S71" s="846" t="s">
        <v>422</v>
      </c>
      <c r="T71" s="963">
        <v>156</v>
      </c>
    </row>
    <row r="72" spans="1:20" ht="14.25" thickBot="1" thickTop="1">
      <c r="A72" s="318" t="s">
        <v>1453</v>
      </c>
      <c r="B72" s="570">
        <f ca="1">OFFSET('datos morosidad'!$B$7,ROW()-69,COUNTIF('datos morosidad'!$C$6:$Z$6,"&gt;0")-(6-COLUMN()))</f>
        <v>0.03253380622519643</v>
      </c>
      <c r="C72" s="570">
        <f ca="1">OFFSET('datos morosidad'!$B$7,ROW()-69,COUNTIF('datos morosidad'!$C$6:$Z$6,"&gt;0")-(6-COLUMN()))</f>
        <v>0.007663458477610923</v>
      </c>
      <c r="D72" s="570">
        <f ca="1">OFFSET('datos morosidad'!$B$7,ROW()-69,COUNTIF('datos morosidad'!$C$6:$Z$6,"&gt;0")-(6-COLUMN()))</f>
        <v>0.010022232642039983</v>
      </c>
      <c r="E72" s="570">
        <f ca="1">OFFSET('datos morosidad'!$B$7,ROW()-69,COUNTIF('datos morosidad'!$C$6:$Z$6,"&gt;0")-(6-COLUMN()))</f>
        <v>0.008302456491173981</v>
      </c>
      <c r="F72" s="571">
        <f ca="1">OFFSET('datos morosidad'!$B$7,ROW()-69,COUNTIF('datos morosidad'!$C$6:$Z$6,"&gt;0")-(6-COLUMN()))</f>
        <v>0.00720465746502743</v>
      </c>
      <c r="G72" s="542"/>
      <c r="K72" s="350"/>
      <c r="L72" s="303"/>
      <c r="M72" s="690">
        <f>SUM(M66:M71)</f>
        <v>566750259.43</v>
      </c>
      <c r="P72" s="846" t="s">
        <v>408</v>
      </c>
      <c r="Q72" s="962">
        <v>352077.84</v>
      </c>
      <c r="S72" s="846" t="s">
        <v>423</v>
      </c>
      <c r="T72" s="962">
        <v>497911.7</v>
      </c>
    </row>
    <row r="73" spans="1:20" ht="14.25" thickBot="1" thickTop="1">
      <c r="A73" s="572" t="s">
        <v>1454</v>
      </c>
      <c r="B73" s="573">
        <f ca="1">OFFSET('datos morosidad'!$B$7,ROW()-69,COUNTIF('datos morosidad'!$C$6:$Z$6,"&gt;0")-(6-COLUMN()))</f>
        <v>0.007097317421912066</v>
      </c>
      <c r="C73" s="573">
        <f ca="1">OFFSET('datos morosidad'!$B$7,ROW()-69,COUNTIF('datos morosidad'!$C$6:$Z$6,"&gt;0")-(6-COLUMN()))</f>
        <v>0.02085395298993955</v>
      </c>
      <c r="D73" s="573">
        <f ca="1">OFFSET('datos morosidad'!$B$7,ROW()-69,COUNTIF('datos morosidad'!$C$6:$Z$6,"&gt;0")-(6-COLUMN()))</f>
        <v>0.02289284972164154</v>
      </c>
      <c r="E73" s="573">
        <f ca="1">OFFSET('datos morosidad'!$B$7,ROW()-69,COUNTIF('datos morosidad'!$C$6:$Z$6,"&gt;0")-(6-COLUMN()))</f>
        <v>0.007003598697468887</v>
      </c>
      <c r="F73" s="574">
        <f ca="1">OFFSET('datos morosidad'!$B$7,ROW()-69,COUNTIF('datos morosidad'!$C$6:$Z$6,"&gt;0")-(6-COLUMN()))</f>
        <v>0.007927042843365387</v>
      </c>
      <c r="G73" s="542"/>
      <c r="J73" s="905" t="s">
        <v>252</v>
      </c>
      <c r="K73" s="350" t="s">
        <v>1019</v>
      </c>
      <c r="L73" s="303"/>
      <c r="M73" s="346"/>
      <c r="P73" s="846" t="s">
        <v>409</v>
      </c>
      <c r="Q73" s="963">
        <v>0</v>
      </c>
      <c r="S73" s="846" t="s">
        <v>424</v>
      </c>
      <c r="T73" s="962">
        <v>34679.04</v>
      </c>
    </row>
    <row r="74" spans="7:20" ht="14.25" thickBot="1" thickTop="1">
      <c r="G74" s="542"/>
      <c r="J74" s="904" t="s">
        <v>249</v>
      </c>
      <c r="K74" s="695" t="s">
        <v>1340</v>
      </c>
      <c r="L74" s="696"/>
      <c r="M74" s="694">
        <f>+M59</f>
        <v>7031185.34</v>
      </c>
      <c r="P74" s="846" t="s">
        <v>410</v>
      </c>
      <c r="Q74" s="962">
        <v>538276610.28</v>
      </c>
      <c r="S74" s="846" t="s">
        <v>425</v>
      </c>
      <c r="T74" s="962">
        <v>7967736.33</v>
      </c>
    </row>
    <row r="75" spans="7:20" ht="14.25" thickBot="1" thickTop="1">
      <c r="G75" s="542"/>
      <c r="J75" s="904" t="s">
        <v>248</v>
      </c>
      <c r="K75" s="695" t="s">
        <v>1343</v>
      </c>
      <c r="L75" s="696"/>
      <c r="M75" s="694">
        <f>+M60</f>
        <v>6381199.340000001</v>
      </c>
      <c r="P75" s="846" t="s">
        <v>411</v>
      </c>
      <c r="Q75" s="962">
        <v>551794500.46</v>
      </c>
      <c r="S75" s="846" t="s">
        <v>426</v>
      </c>
      <c r="T75" s="963">
        <v>89</v>
      </c>
    </row>
    <row r="76" spans="7:20" ht="14.25" thickBot="1" thickTop="1">
      <c r="G76" s="542"/>
      <c r="K76" s="350"/>
      <c r="L76" s="303"/>
      <c r="M76" s="346"/>
      <c r="P76" s="846" t="s">
        <v>495</v>
      </c>
      <c r="Q76" s="963">
        <v>2.172258</v>
      </c>
      <c r="S76" s="846" t="s">
        <v>427</v>
      </c>
      <c r="T76" s="962">
        <v>374885.31</v>
      </c>
    </row>
    <row r="77" spans="7:20" ht="14.25" thickBot="1" thickTop="1">
      <c r="G77" s="542"/>
      <c r="K77" s="692" t="s">
        <v>1020</v>
      </c>
      <c r="L77" s="303"/>
      <c r="M77" s="691">
        <f>+M72-M74-M75</f>
        <v>553337874.7499999</v>
      </c>
      <c r="P77" s="846" t="s">
        <v>412</v>
      </c>
      <c r="Q77" s="962">
        <v>789935.04</v>
      </c>
      <c r="S77" s="846" t="s">
        <v>428</v>
      </c>
      <c r="T77" s="962">
        <v>21957.31</v>
      </c>
    </row>
    <row r="78" spans="7:20" ht="14.25" thickBot="1" thickTop="1">
      <c r="G78" s="542"/>
      <c r="K78" s="693"/>
      <c r="L78" s="344"/>
      <c r="M78" s="687"/>
      <c r="P78" s="846" t="s">
        <v>413</v>
      </c>
      <c r="Q78" s="962">
        <v>288513.62</v>
      </c>
      <c r="S78" s="846" t="s">
        <v>429</v>
      </c>
      <c r="T78" s="962">
        <v>5838740.92</v>
      </c>
    </row>
    <row r="79" spans="7:20" ht="13.5" thickBot="1">
      <c r="G79" s="542"/>
      <c r="P79" s="846" t="s">
        <v>414</v>
      </c>
      <c r="Q79" s="962">
        <v>148220.82</v>
      </c>
      <c r="S79" s="846" t="s">
        <v>430</v>
      </c>
      <c r="T79" s="963">
        <v>52</v>
      </c>
    </row>
    <row r="80" spans="7:20" ht="14.25" thickBot="1" thickTop="1">
      <c r="G80" s="542"/>
      <c r="P80" s="846" t="s">
        <v>415</v>
      </c>
      <c r="Q80" s="962">
        <v>273644.39</v>
      </c>
      <c r="S80" s="846" t="s">
        <v>431</v>
      </c>
      <c r="T80" s="962">
        <v>1053849.17</v>
      </c>
    </row>
    <row r="81" spans="7:20" ht="14.25" thickBot="1" thickTop="1">
      <c r="G81" s="542"/>
      <c r="P81" s="846" t="s">
        <v>416</v>
      </c>
      <c r="Q81" s="962">
        <v>37807527.29</v>
      </c>
      <c r="S81" s="846" t="s">
        <v>432</v>
      </c>
      <c r="T81" s="962">
        <v>44621.99</v>
      </c>
    </row>
    <row r="82" spans="7:20" ht="14.25" thickBot="1" thickTop="1">
      <c r="G82" s="542"/>
      <c r="P82" s="846" t="s">
        <v>417</v>
      </c>
      <c r="Q82" s="963">
        <v>0</v>
      </c>
      <c r="S82" s="846" t="s">
        <v>433</v>
      </c>
      <c r="T82" s="962">
        <v>3986609.85</v>
      </c>
    </row>
    <row r="83" spans="7:20" ht="14.25" thickBot="1" thickTop="1">
      <c r="G83" s="542"/>
      <c r="P83" s="846" t="s">
        <v>418</v>
      </c>
      <c r="Q83" s="962">
        <v>13517890.18</v>
      </c>
      <c r="S83" s="846" t="s">
        <v>434</v>
      </c>
      <c r="T83" s="963">
        <v>57</v>
      </c>
    </row>
    <row r="84" spans="7:23" ht="14.25" thickBot="1" thickTop="1">
      <c r="G84" s="542"/>
      <c r="R84" s="558"/>
      <c r="S84" s="846" t="s">
        <v>435</v>
      </c>
      <c r="T84" s="962">
        <v>1324375.9</v>
      </c>
      <c r="U84" s="1057" t="s">
        <v>1469</v>
      </c>
      <c r="V84" s="1057" t="s">
        <v>1470</v>
      </c>
      <c r="W84" s="1058"/>
    </row>
    <row r="85" spans="7:23" ht="14.25" thickBot="1" thickTop="1">
      <c r="G85" s="542"/>
      <c r="P85"/>
      <c r="Q85"/>
      <c r="R85" s="558"/>
      <c r="S85" s="846" t="s">
        <v>436</v>
      </c>
      <c r="T85" s="962">
        <v>77637.16</v>
      </c>
      <c r="U85" s="1059"/>
      <c r="V85" s="1059"/>
      <c r="W85" s="1058"/>
    </row>
    <row r="86" spans="7:23" ht="14.25" thickBot="1" thickTop="1">
      <c r="G86" s="542"/>
      <c r="P86"/>
      <c r="Q86"/>
      <c r="R86" s="558"/>
      <c r="S86" s="846" t="s">
        <v>437</v>
      </c>
      <c r="T86" s="962">
        <v>3136726.82</v>
      </c>
      <c r="U86" s="559">
        <f>'Fecha de pago'!D11</f>
        <v>6381199.340000001</v>
      </c>
      <c r="W86" s="559">
        <f>G45</f>
        <v>1236252.0499999998</v>
      </c>
    </row>
    <row r="87" spans="7:23" ht="14.25" thickBot="1" thickTop="1">
      <c r="G87" s="542"/>
      <c r="P87"/>
      <c r="Q87"/>
      <c r="R87" s="558"/>
      <c r="S87" s="846" t="s">
        <v>438</v>
      </c>
      <c r="T87" s="963">
        <v>69</v>
      </c>
      <c r="W87" s="290" t="s">
        <v>564</v>
      </c>
    </row>
    <row r="88" spans="7:23" ht="14.25" thickBot="1" thickTop="1">
      <c r="G88" s="542"/>
      <c r="P88"/>
      <c r="Q88"/>
      <c r="S88" s="846" t="s">
        <v>439</v>
      </c>
      <c r="T88" s="962">
        <v>2618476.26</v>
      </c>
      <c r="W88" s="290" t="s">
        <v>487</v>
      </c>
    </row>
    <row r="89" spans="7:20" ht="14.25" thickBot="1" thickTop="1">
      <c r="G89" s="542"/>
      <c r="P89"/>
      <c r="Q89"/>
      <c r="S89" s="846" t="s">
        <v>440</v>
      </c>
      <c r="T89" s="962">
        <v>178511.83</v>
      </c>
    </row>
    <row r="90" spans="7:20" ht="14.25" thickBot="1" thickTop="1">
      <c r="G90" s="542"/>
      <c r="P90"/>
      <c r="Q90"/>
      <c r="S90" s="846" t="s">
        <v>441</v>
      </c>
      <c r="T90" s="962">
        <v>6394553.51</v>
      </c>
    </row>
    <row r="91" spans="7:20" ht="14.25" thickBot="1" thickTop="1">
      <c r="G91" s="542"/>
      <c r="P91"/>
      <c r="Q91"/>
      <c r="S91" s="846" t="s">
        <v>442</v>
      </c>
      <c r="T91" s="963">
        <v>269</v>
      </c>
    </row>
    <row r="92" spans="7:17" ht="13.5" thickTop="1">
      <c r="G92" s="542"/>
      <c r="P92"/>
      <c r="Q92"/>
    </row>
    <row r="93" spans="7:17" ht="12.75">
      <c r="G93" s="542"/>
      <c r="P93"/>
      <c r="Q93"/>
    </row>
    <row r="94" spans="7:17" ht="13.5" thickBot="1">
      <c r="G94" s="542"/>
      <c r="P94"/>
      <c r="Q94"/>
    </row>
    <row r="95" spans="10:17" ht="15" thickBot="1">
      <c r="J95" s="918">
        <f>+G100-C100</f>
        <v>-62969680.50770412</v>
      </c>
      <c r="K95" s="403" t="str">
        <f>IF(ROUND(G100,2)=ROUND(C100,2),"","ERROR EN SALIDAS flujos")</f>
        <v>ERROR EN SALIDAS flujos</v>
      </c>
      <c r="L95" s="404"/>
      <c r="P95"/>
      <c r="Q95"/>
    </row>
    <row r="96" spans="1:17" ht="18.75" thickBot="1">
      <c r="A96" s="1060" t="s">
        <v>1058</v>
      </c>
      <c r="B96" s="1061"/>
      <c r="C96" s="1061"/>
      <c r="D96" s="1061"/>
      <c r="E96" s="1061"/>
      <c r="F96" s="1061"/>
      <c r="G96" s="1062"/>
      <c r="P96"/>
      <c r="Q96"/>
    </row>
    <row r="97" spans="1:17" ht="18">
      <c r="A97" s="1063">
        <f>$A$10</f>
        <v>40350</v>
      </c>
      <c r="B97" s="1063"/>
      <c r="C97" s="1063"/>
      <c r="D97" s="1063"/>
      <c r="E97" s="1063"/>
      <c r="F97" s="1063"/>
      <c r="G97" s="1063"/>
      <c r="P97"/>
      <c r="Q97"/>
    </row>
    <row r="98" spans="2:17" ht="12.75">
      <c r="B98" s="410"/>
      <c r="C98" s="316"/>
      <c r="D98" s="316"/>
      <c r="F98" s="316"/>
      <c r="G98" s="316"/>
      <c r="P98"/>
      <c r="Q98"/>
    </row>
    <row r="99" spans="2:17" ht="13.5" thickBot="1">
      <c r="B99" s="411"/>
      <c r="C99" s="316"/>
      <c r="D99" s="316"/>
      <c r="G99" s="316"/>
      <c r="P99"/>
      <c r="Q99"/>
    </row>
    <row r="100" spans="1:17" ht="14.25" thickBot="1" thickTop="1">
      <c r="A100" s="1145" t="s">
        <v>470</v>
      </c>
      <c r="B100" s="1146"/>
      <c r="C100" s="1139">
        <f>SUM(C102:C110)</f>
        <v>71934552.92000002</v>
      </c>
      <c r="E100" s="1145" t="s">
        <v>471</v>
      </c>
      <c r="F100" s="1146"/>
      <c r="G100" s="1139">
        <f>SUM(G102:G114)</f>
        <v>8964872.4122959</v>
      </c>
      <c r="P100"/>
      <c r="Q100"/>
    </row>
    <row r="101" spans="1:17" ht="13.5" thickBot="1">
      <c r="A101" s="1147"/>
      <c r="B101" s="1148"/>
      <c r="C101" s="1140"/>
      <c r="E101" s="1147"/>
      <c r="F101" s="1148"/>
      <c r="G101" s="1140"/>
      <c r="K101" s="916" t="s">
        <v>586</v>
      </c>
      <c r="L101" s="61">
        <f>'Fecha de pago'!C51</f>
        <v>0</v>
      </c>
      <c r="P101"/>
      <c r="Q101"/>
    </row>
    <row r="102" spans="1:17" ht="13.5" thickTop="1">
      <c r="A102" s="317" t="s">
        <v>472</v>
      </c>
      <c r="B102" s="283"/>
      <c r="C102" s="281"/>
      <c r="E102" s="1149" t="s">
        <v>1256</v>
      </c>
      <c r="F102" s="1150"/>
      <c r="G102" s="702">
        <f>'Fecha de pago'!C51</f>
        <v>0</v>
      </c>
      <c r="K102" s="917" t="s">
        <v>587</v>
      </c>
      <c r="L102" s="61">
        <f>+'Fecha de pago'!C55</f>
        <v>27591.09229589041</v>
      </c>
      <c r="P102"/>
      <c r="Q102"/>
    </row>
    <row r="103" spans="1:17" ht="12.75">
      <c r="A103" s="289" t="s">
        <v>473</v>
      </c>
      <c r="B103" s="290"/>
      <c r="C103" s="287">
        <f>'mis calculos'!C25</f>
        <v>68369457.25000001</v>
      </c>
      <c r="E103" s="1084" t="s">
        <v>1257</v>
      </c>
      <c r="F103" s="1085"/>
      <c r="G103" s="287">
        <f>'Fecha de pago'!C55</f>
        <v>27591.09229589041</v>
      </c>
      <c r="K103" s="917" t="s">
        <v>583</v>
      </c>
      <c r="L103" s="61">
        <f>'Fecha de pago'!F61</f>
        <v>3660655.44</v>
      </c>
      <c r="P103"/>
      <c r="Q103"/>
    </row>
    <row r="104" spans="1:17" ht="12.75">
      <c r="A104" s="594" t="s">
        <v>1467</v>
      </c>
      <c r="B104" s="303"/>
      <c r="C104" s="287">
        <f>'mis calculos'!C6</f>
        <v>880016.01</v>
      </c>
      <c r="E104" s="1084" t="s">
        <v>1258</v>
      </c>
      <c r="F104" s="1085"/>
      <c r="G104" s="419">
        <f>'Fecha de pago'!C62</f>
        <v>1942697.55</v>
      </c>
      <c r="K104" s="917" t="s">
        <v>584</v>
      </c>
      <c r="L104" s="61">
        <f>-'Fecha de pago'!F62</f>
        <v>-1717957.89</v>
      </c>
      <c r="P104"/>
      <c r="Q104"/>
    </row>
    <row r="105" spans="1:17" ht="12.75">
      <c r="A105" s="318" t="s">
        <v>1465</v>
      </c>
      <c r="B105" s="290"/>
      <c r="C105" s="287"/>
      <c r="E105" s="289" t="s">
        <v>707</v>
      </c>
      <c r="F105" s="290"/>
      <c r="G105" s="287">
        <f>'Fecha de pago'!C66+'Fecha de pago'!C68</f>
        <v>1117280</v>
      </c>
      <c r="K105" s="917" t="s">
        <v>588</v>
      </c>
      <c r="L105" s="61">
        <f>+C24</f>
        <v>0</v>
      </c>
      <c r="P105"/>
      <c r="Q105"/>
    </row>
    <row r="106" spans="1:17" ht="12.75">
      <c r="A106" s="289" t="s">
        <v>474</v>
      </c>
      <c r="B106" s="290"/>
      <c r="C106" s="287">
        <f>'mis calculos'!C4</f>
        <v>3660741.58</v>
      </c>
      <c r="E106" s="289" t="s">
        <v>708</v>
      </c>
      <c r="F106" s="290"/>
      <c r="G106" s="287">
        <f>'Fecha de pago'!C70</f>
        <v>175882</v>
      </c>
      <c r="K106" s="917" t="s">
        <v>589</v>
      </c>
      <c r="L106" s="61">
        <f>+C25</f>
        <v>1117280</v>
      </c>
      <c r="P106"/>
      <c r="Q106"/>
    </row>
    <row r="107" spans="1:17" ht="12.75">
      <c r="A107" s="319" t="s">
        <v>475</v>
      </c>
      <c r="B107" s="320"/>
      <c r="C107" s="321">
        <f>'mis calculos'!C5</f>
        <v>126962.27</v>
      </c>
      <c r="E107" s="289" t="s">
        <v>709</v>
      </c>
      <c r="F107" s="290"/>
      <c r="G107" s="287">
        <f>'Fecha de pago'!C72</f>
        <v>127753.5</v>
      </c>
      <c r="K107" s="917" t="s">
        <v>590</v>
      </c>
      <c r="L107" s="61">
        <f>+C26</f>
        <v>175882</v>
      </c>
      <c r="P107"/>
      <c r="Q107"/>
    </row>
    <row r="108" spans="1:17" ht="12.75">
      <c r="A108" s="319" t="s">
        <v>1463</v>
      </c>
      <c r="B108" s="320"/>
      <c r="C108" s="321">
        <f>'mis calculos'!C7</f>
        <v>-1102611.66</v>
      </c>
      <c r="E108" s="289" t="s">
        <v>726</v>
      </c>
      <c r="F108" s="290"/>
      <c r="G108" s="287">
        <f>'Fecha de pago'!C74</f>
        <v>189686</v>
      </c>
      <c r="K108" s="917" t="s">
        <v>591</v>
      </c>
      <c r="L108" s="61">
        <f>+C27</f>
        <v>127753.5</v>
      </c>
      <c r="P108"/>
      <c r="Q108"/>
    </row>
    <row r="109" spans="1:12" ht="12.75">
      <c r="A109" s="901" t="s">
        <v>1466</v>
      </c>
      <c r="B109" s="320"/>
      <c r="C109" s="321">
        <v>0</v>
      </c>
      <c r="D109" s="316"/>
      <c r="E109" s="289" t="s">
        <v>727</v>
      </c>
      <c r="F109" s="290"/>
      <c r="G109" s="287">
        <f>'Fecha de pago'!C103</f>
        <v>81069680</v>
      </c>
      <c r="K109" s="917" t="s">
        <v>592</v>
      </c>
      <c r="L109" s="61">
        <f>+C28</f>
        <v>189686</v>
      </c>
    </row>
    <row r="110" spans="1:12" ht="13.5" thickBot="1">
      <c r="A110" s="322" t="s">
        <v>444</v>
      </c>
      <c r="B110" s="323"/>
      <c r="C110" s="324">
        <f>'mis calculos'!C9</f>
        <v>-12.53</v>
      </c>
      <c r="E110" s="289" t="s">
        <v>728</v>
      </c>
      <c r="F110" s="290"/>
      <c r="G110" s="287">
        <f>'Fecha de pago'!C165</f>
        <v>0</v>
      </c>
      <c r="K110" s="917" t="s">
        <v>593</v>
      </c>
      <c r="L110" s="61">
        <f>+'Fecha de pago'!Y71</f>
        <v>0</v>
      </c>
    </row>
    <row r="111" spans="5:12" ht="14.25" thickBot="1" thickTop="1">
      <c r="E111" s="289" t="s">
        <v>1462</v>
      </c>
      <c r="F111" s="290"/>
      <c r="G111" s="287">
        <f>'Fecha de pago'!C174</f>
        <v>0</v>
      </c>
      <c r="K111" s="917" t="s">
        <v>594</v>
      </c>
      <c r="L111" s="61">
        <f>+'Fecha de pago'!Y72</f>
        <v>81069680</v>
      </c>
    </row>
    <row r="112" spans="1:12" ht="13.5" thickTop="1">
      <c r="A112" s="1096" t="s">
        <v>476</v>
      </c>
      <c r="B112" s="1097"/>
      <c r="C112" s="1143">
        <f>+C117+C118</f>
        <v>26608172.97</v>
      </c>
      <c r="E112" s="289" t="s">
        <v>729</v>
      </c>
      <c r="F112" s="290"/>
      <c r="G112" s="287">
        <f>'Fecha de pago'!C186</f>
        <v>0</v>
      </c>
      <c r="K112" s="917" t="s">
        <v>595</v>
      </c>
      <c r="L112" s="61">
        <f>+'Fecha de pago'!Y73</f>
        <v>0</v>
      </c>
    </row>
    <row r="113" spans="1:12" ht="13.5" thickBot="1">
      <c r="A113" s="1141"/>
      <c r="B113" s="1142"/>
      <c r="C113" s="1144"/>
      <c r="E113" s="289" t="s">
        <v>730</v>
      </c>
      <c r="F113" s="290"/>
      <c r="G113" s="287">
        <f>ROUND('Fecha de pago'!C188,2)</f>
        <v>-73451228.35</v>
      </c>
      <c r="K113" s="917" t="s">
        <v>596</v>
      </c>
      <c r="L113" s="61">
        <f>+'Fecha de pago'!Y74</f>
        <v>0</v>
      </c>
    </row>
    <row r="114" spans="1:12" ht="14.25" thickBot="1" thickTop="1">
      <c r="A114" s="317" t="s">
        <v>477</v>
      </c>
      <c r="B114" s="283"/>
      <c r="C114" s="281"/>
      <c r="E114" s="703" t="s">
        <v>731</v>
      </c>
      <c r="F114" s="704"/>
      <c r="G114" s="891">
        <f>-C116</f>
        <v>-2234469.3800000027</v>
      </c>
      <c r="K114" s="917" t="s">
        <v>597</v>
      </c>
      <c r="L114" s="61">
        <f>+'Fecha de pago'!Y75</f>
        <v>0</v>
      </c>
    </row>
    <row r="115" spans="1:12" ht="13.5" thickTop="1">
      <c r="A115" s="289" t="s">
        <v>479</v>
      </c>
      <c r="B115" s="290"/>
      <c r="C115" s="287">
        <v>28842642.35</v>
      </c>
      <c r="K115" s="917" t="s">
        <v>598</v>
      </c>
      <c r="L115" s="61">
        <v>0</v>
      </c>
    </row>
    <row r="116" spans="1:12" ht="12.75">
      <c r="A116" s="1084" t="s">
        <v>483</v>
      </c>
      <c r="B116" s="1085"/>
      <c r="C116" s="287">
        <f>C115-C117</f>
        <v>2234469.3800000027</v>
      </c>
      <c r="K116" s="917"/>
      <c r="L116" s="61"/>
    </row>
    <row r="117" spans="1:12" ht="12.75">
      <c r="A117" s="1084" t="s">
        <v>484</v>
      </c>
      <c r="B117" s="1085"/>
      <c r="C117" s="287">
        <f>'Fecha de pago'!C150</f>
        <v>26608172.97</v>
      </c>
      <c r="D117" s="950"/>
      <c r="H117" s="303"/>
      <c r="K117" s="917" t="s">
        <v>599</v>
      </c>
      <c r="L117" s="61">
        <v>0</v>
      </c>
    </row>
    <row r="118" spans="1:12" ht="13.5" thickBot="1">
      <c r="A118" s="1091" t="s">
        <v>1047</v>
      </c>
      <c r="B118" s="1092"/>
      <c r="C118" s="324">
        <v>0</v>
      </c>
      <c r="H118" s="303"/>
      <c r="K118" s="917"/>
      <c r="L118" s="61"/>
    </row>
    <row r="119" spans="1:12" ht="13.5" thickTop="1">
      <c r="A119" s="328"/>
      <c r="B119" s="328"/>
      <c r="C119" s="329"/>
      <c r="K119" s="917" t="s">
        <v>601</v>
      </c>
      <c r="L119" s="61">
        <v>0</v>
      </c>
    </row>
    <row r="120" spans="1:12" ht="13.5" thickBot="1">
      <c r="A120" s="328"/>
      <c r="B120" s="328"/>
      <c r="C120" s="329"/>
      <c r="D120" s="303"/>
      <c r="E120" s="61"/>
      <c r="G120" s="61"/>
      <c r="K120" s="917"/>
      <c r="L120" s="61"/>
    </row>
    <row r="121" spans="1:12" ht="18.75" thickBot="1">
      <c r="A121" s="1060" t="s">
        <v>1059</v>
      </c>
      <c r="B121" s="1061"/>
      <c r="C121" s="1061"/>
      <c r="D121" s="1061"/>
      <c r="E121" s="1061"/>
      <c r="F121" s="1061"/>
      <c r="G121" s="1062"/>
      <c r="I121" s="325" t="s">
        <v>860</v>
      </c>
      <c r="J121" s="915" t="s">
        <v>478</v>
      </c>
      <c r="K121" s="917" t="s">
        <v>602</v>
      </c>
      <c r="L121" s="61">
        <v>0</v>
      </c>
    </row>
    <row r="122" spans="1:12" ht="18">
      <c r="A122" s="1063">
        <f>$A$10</f>
        <v>40350</v>
      </c>
      <c r="B122" s="1063"/>
      <c r="C122" s="1063"/>
      <c r="D122" s="1063"/>
      <c r="E122" s="1063"/>
      <c r="F122" s="1063"/>
      <c r="G122" s="1063"/>
      <c r="K122" s="917"/>
      <c r="L122" s="61"/>
    </row>
    <row r="123" spans="1:12" ht="12.75">
      <c r="A123" s="328"/>
      <c r="B123" s="328"/>
      <c r="C123" s="329"/>
      <c r="D123" s="332"/>
      <c r="G123" s="61"/>
      <c r="K123" s="919" t="s">
        <v>604</v>
      </c>
      <c r="L123" s="61">
        <f>'Fecha de pago'!H170</f>
        <v>0</v>
      </c>
    </row>
    <row r="124" spans="1:12" ht="12.75">
      <c r="A124" s="328"/>
      <c r="B124" s="328"/>
      <c r="C124" s="329"/>
      <c r="D124" s="61"/>
      <c r="G124" s="61"/>
      <c r="K124" s="919"/>
      <c r="L124" s="61"/>
    </row>
    <row r="125" spans="11:12" ht="12.75">
      <c r="K125" s="919" t="s">
        <v>603</v>
      </c>
      <c r="L125" s="61">
        <f>'Fecha de pago'!H169</f>
        <v>0</v>
      </c>
    </row>
    <row r="126" spans="11:12" ht="12.75">
      <c r="K126" s="919"/>
      <c r="L126" s="61"/>
    </row>
    <row r="127" spans="11:12" ht="13.5" thickBot="1">
      <c r="K127" s="919" t="s">
        <v>606</v>
      </c>
      <c r="L127" s="61">
        <f>'Fecha de pago'!H175</f>
        <v>0</v>
      </c>
    </row>
    <row r="128" spans="1:12" ht="14.25" thickBot="1" thickTop="1">
      <c r="A128" s="1093" t="s">
        <v>489</v>
      </c>
      <c r="B128" s="1094"/>
      <c r="C128" s="1094"/>
      <c r="D128" s="1095"/>
      <c r="K128" s="919"/>
      <c r="L128" s="61"/>
    </row>
    <row r="129" spans="1:12" ht="13.5" thickTop="1">
      <c r="A129" s="1088" t="s">
        <v>490</v>
      </c>
      <c r="B129" s="1089"/>
      <c r="C129" s="1105" t="s">
        <v>400</v>
      </c>
      <c r="D129" s="530" t="s">
        <v>401</v>
      </c>
      <c r="K129" s="919" t="s">
        <v>607</v>
      </c>
      <c r="L129" s="61">
        <f>'Fecha de pago'!H174</f>
        <v>0</v>
      </c>
    </row>
    <row r="130" spans="1:12" ht="12.75">
      <c r="A130" s="1090"/>
      <c r="B130" s="975"/>
      <c r="C130" s="1017"/>
      <c r="D130" s="528">
        <f>+G14</f>
        <v>40350</v>
      </c>
      <c r="K130" s="919" t="s">
        <v>605</v>
      </c>
      <c r="L130" s="61">
        <f>'Fecha de pago'!C186</f>
        <v>0</v>
      </c>
    </row>
    <row r="131" spans="1:12" ht="12.75">
      <c r="A131" s="1106" t="s">
        <v>645</v>
      </c>
      <c r="B131" s="1107"/>
      <c r="C131" s="334">
        <f>140000000/2000000000</f>
        <v>0.07</v>
      </c>
      <c r="D131" s="529">
        <f>SUM('Fecha de pago'!W73:W75)/'Fecha de pago'!W80</f>
        <v>0.2530099875331136</v>
      </c>
      <c r="K131" s="919" t="s">
        <v>585</v>
      </c>
      <c r="L131" s="61">
        <f>ROUND('Fecha de pago'!C188,2)</f>
        <v>-73451228.35</v>
      </c>
    </row>
    <row r="132" spans="1:12" ht="26.25" thickBot="1">
      <c r="A132" s="1086" t="s">
        <v>491</v>
      </c>
      <c r="B132" s="1087"/>
      <c r="C132" s="896" t="s">
        <v>526</v>
      </c>
      <c r="D132" s="897" t="str">
        <f>TEXT('Fecha de pago'!C150,"#.0,00 €")&amp;" ("&amp;TEXT('Fecha de pago'!C150/'Fecha de pago'!W80,"0,00%")&amp;")"</f>
        <v>26.608.172,97 € (4,81%)</v>
      </c>
      <c r="K132" s="920" t="s">
        <v>608</v>
      </c>
      <c r="L132" s="316">
        <f>-C116</f>
        <v>-2234469.3800000027</v>
      </c>
    </row>
    <row r="133" ht="18.75" thickTop="1">
      <c r="L133" s="921">
        <f>SUM(L101:L132)</f>
        <v>8964872.4122959</v>
      </c>
    </row>
    <row r="134" spans="3:12" ht="12.75">
      <c r="C134" s="418"/>
      <c r="L134" s="61"/>
    </row>
    <row r="135" ht="12.75">
      <c r="L135" s="61"/>
    </row>
    <row r="136" ht="13.5" thickBot="1">
      <c r="L136" s="61"/>
    </row>
    <row r="137" spans="1:4" ht="14.25" thickBot="1" thickTop="1">
      <c r="A137" s="1068" t="s">
        <v>492</v>
      </c>
      <c r="B137" s="1069"/>
      <c r="C137" s="1069"/>
      <c r="D137" s="1070"/>
    </row>
    <row r="138" spans="1:4" ht="13.5" thickTop="1">
      <c r="A138" s="1088" t="str">
        <f>+A129</f>
        <v>CONCEPTOS</v>
      </c>
      <c r="B138" s="1104"/>
      <c r="C138" s="1105" t="s">
        <v>400</v>
      </c>
      <c r="D138" s="335" t="str">
        <f>+D129</f>
        <v>fecha actual</v>
      </c>
    </row>
    <row r="139" spans="1:4" ht="13.5" thickBot="1">
      <c r="A139" s="1090"/>
      <c r="B139" s="974"/>
      <c r="C139" s="1017"/>
      <c r="D139" s="333">
        <f>+D130</f>
        <v>40350</v>
      </c>
    </row>
    <row r="140" spans="1:12" ht="13.5" thickBot="1">
      <c r="A140" s="1084" t="s">
        <v>493</v>
      </c>
      <c r="B140" s="1085"/>
      <c r="C140" s="336">
        <f>1950000+38000000</f>
        <v>39950000</v>
      </c>
      <c r="D140" s="337">
        <f>'Fecha de pago'!H173+'Fecha de pago'!H168</f>
        <v>38508804.74</v>
      </c>
      <c r="K140" s="325" t="s">
        <v>129</v>
      </c>
      <c r="L140" s="326" t="s">
        <v>494</v>
      </c>
    </row>
    <row r="141" spans="1:4" ht="13.5" thickBot="1">
      <c r="A141" s="1102" t="s">
        <v>495</v>
      </c>
      <c r="B141" s="1103"/>
      <c r="C141" s="421">
        <v>0.056190000000000004</v>
      </c>
      <c r="D141" s="420">
        <f>'tipos interés EBAN 1'!P28</f>
        <v>0.01729</v>
      </c>
    </row>
    <row r="142" ht="13.5" thickTop="1"/>
    <row r="143" ht="13.5" thickBot="1"/>
    <row r="144" spans="1:7" ht="18" thickBot="1">
      <c r="A144" s="1060" t="s">
        <v>1060</v>
      </c>
      <c r="B144" s="1061"/>
      <c r="C144" s="1061"/>
      <c r="D144" s="1061"/>
      <c r="E144" s="1061"/>
      <c r="F144" s="1061"/>
      <c r="G144" s="1062"/>
    </row>
    <row r="145" spans="1:7" ht="17.25">
      <c r="A145" s="1063">
        <f>$A$10</f>
        <v>40350</v>
      </c>
      <c r="B145" s="1063"/>
      <c r="C145" s="1063"/>
      <c r="D145" s="1063"/>
      <c r="E145" s="1063"/>
      <c r="F145" s="1063"/>
      <c r="G145" s="1063"/>
    </row>
    <row r="147" ht="13.5" thickBot="1"/>
    <row r="148" spans="1:7" ht="13.5" customHeight="1" thickTop="1">
      <c r="A148" s="1096" t="s">
        <v>496</v>
      </c>
      <c r="B148" s="1097"/>
      <c r="C148" s="1097"/>
      <c r="D148" s="1097"/>
      <c r="E148" s="1097"/>
      <c r="F148" s="1098"/>
      <c r="G148" s="338"/>
    </row>
    <row r="149" spans="1:7" ht="13.5" customHeight="1" thickBot="1">
      <c r="A149" s="1099"/>
      <c r="B149" s="1100"/>
      <c r="C149" s="1100"/>
      <c r="D149" s="1100"/>
      <c r="E149" s="1100"/>
      <c r="F149" s="1101"/>
      <c r="G149" s="338"/>
    </row>
    <row r="150" spans="1:7" ht="12.75">
      <c r="A150" s="339" t="s">
        <v>748</v>
      </c>
      <c r="B150" s="340"/>
      <c r="C150" s="340"/>
      <c r="D150" s="340"/>
      <c r="E150" s="340"/>
      <c r="F150" s="422">
        <v>38000000</v>
      </c>
      <c r="G150" s="303"/>
    </row>
    <row r="151" spans="1:7" ht="12.75">
      <c r="A151" s="341" t="s">
        <v>743</v>
      </c>
      <c r="B151" s="303"/>
      <c r="C151" s="303"/>
      <c r="D151" s="303"/>
      <c r="E151" s="303"/>
      <c r="F151" s="342"/>
      <c r="G151" s="303"/>
    </row>
    <row r="152" spans="1:7" ht="12.75">
      <c r="A152" s="341" t="s">
        <v>744</v>
      </c>
      <c r="B152" s="303"/>
      <c r="C152" s="303"/>
      <c r="D152" s="303"/>
      <c r="E152" s="303"/>
      <c r="F152" s="342">
        <v>38000000</v>
      </c>
      <c r="G152" s="303"/>
    </row>
    <row r="153" spans="1:7" ht="12.75">
      <c r="A153" s="341" t="s">
        <v>745</v>
      </c>
      <c r="B153" s="303"/>
      <c r="C153" s="303"/>
      <c r="D153" s="303"/>
      <c r="E153" s="303"/>
      <c r="F153" s="342"/>
      <c r="G153" s="303"/>
    </row>
    <row r="154" spans="1:7" ht="12.75">
      <c r="A154" s="341" t="s">
        <v>746</v>
      </c>
      <c r="B154" s="303"/>
      <c r="C154" s="303"/>
      <c r="D154" s="303"/>
      <c r="E154" s="303"/>
      <c r="F154" s="342">
        <f>3.8%*'Fecha de pago'!J80</f>
        <v>21026837.919999998</v>
      </c>
      <c r="G154" s="303"/>
    </row>
    <row r="155" spans="1:7" ht="13.5" thickBot="1">
      <c r="A155" s="341" t="s">
        <v>747</v>
      </c>
      <c r="B155" s="303"/>
      <c r="C155" s="303"/>
      <c r="D155" s="303"/>
      <c r="E155" s="303"/>
      <c r="F155" s="342">
        <f>1%*2000000000</f>
        <v>20000000</v>
      </c>
      <c r="G155" s="303"/>
    </row>
    <row r="156" spans="1:10" ht="12.75">
      <c r="A156" s="339" t="s">
        <v>646</v>
      </c>
      <c r="B156" s="340"/>
      <c r="C156" s="340"/>
      <c r="D156" s="340"/>
      <c r="E156" s="340"/>
      <c r="F156" s="345"/>
      <c r="J156" s="892" t="s">
        <v>710</v>
      </c>
    </row>
    <row r="157" spans="1:10" ht="12.75">
      <c r="A157" s="341" t="s">
        <v>647</v>
      </c>
      <c r="B157" s="303"/>
      <c r="C157" s="303"/>
      <c r="D157" s="303"/>
      <c r="E157" s="303"/>
      <c r="F157" s="423" t="str">
        <f>IF('Fecha de pago'!C150&lt;38000000,"SÍ","NO")</f>
        <v>SÍ</v>
      </c>
      <c r="J157" s="937">
        <f>IF(F157="SÍ",0,1)</f>
        <v>0</v>
      </c>
    </row>
    <row r="158" spans="1:10" ht="12.75">
      <c r="A158" s="341" t="s">
        <v>648</v>
      </c>
      <c r="B158" s="303"/>
      <c r="C158" s="303"/>
      <c r="D158" s="303"/>
      <c r="E158" s="303"/>
      <c r="F158" s="423" t="str">
        <f>IF(F54+G54&gt;1.5%,"SÍ","NO")</f>
        <v>SÍ</v>
      </c>
      <c r="J158" s="938">
        <f>IF(F158="SÍ",0,1)</f>
        <v>0</v>
      </c>
    </row>
    <row r="159" spans="1:10" ht="13.5" thickBot="1">
      <c r="A159" s="343" t="s">
        <v>499</v>
      </c>
      <c r="B159" s="344"/>
      <c r="C159" s="344"/>
      <c r="D159" s="344"/>
      <c r="E159" s="344"/>
      <c r="F159" s="424" t="str">
        <f>IF(G14&lt;=DATE(2009,10,5),"SÍ","NO")</f>
        <v>NO</v>
      </c>
      <c r="J159" s="939">
        <f>IF(F159="SÍ",0,1)</f>
        <v>1</v>
      </c>
    </row>
    <row r="160" ht="3.75" customHeight="1">
      <c r="A160" s="330"/>
    </row>
    <row r="161" spans="1:10" ht="15">
      <c r="A161" s="347"/>
      <c r="J161" s="940">
        <f>PRODUCT(J157:J159)</f>
        <v>0</v>
      </c>
    </row>
    <row r="162" ht="12.75">
      <c r="A162" s="330"/>
    </row>
    <row r="163" ht="12.75">
      <c r="A163" s="348" t="s">
        <v>1294</v>
      </c>
    </row>
    <row r="164" ht="12.75">
      <c r="A164" s="348" t="s">
        <v>1295</v>
      </c>
    </row>
    <row r="165" ht="13.5" thickBot="1">
      <c r="A165" s="349"/>
    </row>
    <row r="166" spans="1:6" ht="13.5" customHeight="1" thickTop="1">
      <c r="A166" s="1096" t="s">
        <v>497</v>
      </c>
      <c r="B166" s="1097"/>
      <c r="C166" s="1097"/>
      <c r="D166" s="1097"/>
      <c r="E166" s="1097"/>
      <c r="F166" s="1098"/>
    </row>
    <row r="167" spans="1:6" ht="13.5" thickBot="1">
      <c r="A167" s="1099"/>
      <c r="B167" s="1100"/>
      <c r="C167" s="1100"/>
      <c r="D167" s="1100"/>
      <c r="E167" s="1100"/>
      <c r="F167" s="1101"/>
    </row>
    <row r="168" spans="1:6" ht="12.75">
      <c r="A168" s="602" t="s">
        <v>1053</v>
      </c>
      <c r="B168" s="340"/>
      <c r="C168" s="340"/>
      <c r="D168" s="340"/>
      <c r="E168" s="340"/>
      <c r="F168" s="603"/>
    </row>
    <row r="169" spans="1:6" ht="12.75">
      <c r="A169" s="596" t="s">
        <v>498</v>
      </c>
      <c r="B169" s="303"/>
      <c r="C169" s="303"/>
      <c r="D169" s="303"/>
      <c r="E169" s="303"/>
      <c r="F169" s="595">
        <f>IF(F172/F173&lt;1,F172/F173,"")</f>
      </c>
    </row>
    <row r="170" spans="1:6" ht="12.75">
      <c r="A170" s="604" t="s">
        <v>500</v>
      </c>
      <c r="B170" s="303"/>
      <c r="C170" s="303"/>
      <c r="D170" s="303"/>
      <c r="E170" s="303"/>
      <c r="F170" s="605">
        <f>IF(F172/F173&gt;=1,F172/F173,"")</f>
        <v>1.2405442156502795</v>
      </c>
    </row>
    <row r="171" spans="1:6" ht="4.5" customHeight="1" thickBot="1">
      <c r="A171" s="604"/>
      <c r="B171" s="303"/>
      <c r="C171" s="303"/>
      <c r="D171" s="303"/>
      <c r="E171" s="303"/>
      <c r="F171" s="605"/>
    </row>
    <row r="172" spans="1:12" ht="13.5" thickBot="1">
      <c r="A172" s="604" t="s">
        <v>501</v>
      </c>
      <c r="B172" s="303"/>
      <c r="C172" s="303"/>
      <c r="D172" s="303"/>
      <c r="E172" s="303"/>
      <c r="F172" s="606">
        <f>C39+C103-K174</f>
        <v>613334389.1099999</v>
      </c>
      <c r="K172" s="325" t="s">
        <v>101</v>
      </c>
      <c r="L172" s="326"/>
    </row>
    <row r="173" spans="1:12" ht="13.5" thickBot="1">
      <c r="A173" s="607" t="s">
        <v>502</v>
      </c>
      <c r="B173" s="344"/>
      <c r="C173" s="344"/>
      <c r="D173" s="344"/>
      <c r="E173" s="344"/>
      <c r="F173" s="608">
        <f>'Fecha de pago'!J71+'Fecha de pago'!J72</f>
        <v>494407520</v>
      </c>
      <c r="K173" s="325" t="s">
        <v>103</v>
      </c>
      <c r="L173" s="326"/>
    </row>
    <row r="174" spans="1:12" ht="13.5" thickBot="1">
      <c r="A174" s="602" t="s">
        <v>503</v>
      </c>
      <c r="B174" s="340"/>
      <c r="C174" s="340"/>
      <c r="D174" s="340"/>
      <c r="E174" s="340"/>
      <c r="F174" s="603"/>
      <c r="K174" s="521">
        <f>SUM(F52:G52)</f>
        <v>8372942.889999999</v>
      </c>
      <c r="L174" s="326" t="s">
        <v>124</v>
      </c>
    </row>
    <row r="175" spans="1:6" ht="12.75">
      <c r="A175" s="604" t="s">
        <v>649</v>
      </c>
      <c r="B175" s="303"/>
      <c r="C175" s="303"/>
      <c r="D175" s="303"/>
      <c r="E175" s="303"/>
      <c r="F175" s="609">
        <f>'Fecha de pago'!J73/'Fecha de pago'!J80</f>
        <v>0.1265049937665568</v>
      </c>
    </row>
    <row r="176" spans="1:12" ht="12.75">
      <c r="A176" s="604" t="s">
        <v>650</v>
      </c>
      <c r="B176" s="303"/>
      <c r="C176" s="303"/>
      <c r="D176" s="303"/>
      <c r="E176" s="303"/>
      <c r="F176" s="705" t="str">
        <f>IF(F177&lt;F178,"SÍ","NO")</f>
        <v>NO</v>
      </c>
      <c r="G176" s="411"/>
      <c r="L176" s="61"/>
    </row>
    <row r="177" spans="1:12" ht="12.75">
      <c r="A177" s="604" t="s">
        <v>1423</v>
      </c>
      <c r="B177" s="303"/>
      <c r="C177" s="303"/>
      <c r="D177" s="303"/>
      <c r="E177" s="303"/>
      <c r="F177" s="705">
        <v>8376304.24</v>
      </c>
      <c r="G177" s="411"/>
      <c r="L177" s="61"/>
    </row>
    <row r="178" spans="1:12" ht="13.5" thickBot="1">
      <c r="A178" s="604" t="s">
        <v>1424</v>
      </c>
      <c r="B178" s="303"/>
      <c r="C178" s="303"/>
      <c r="D178" s="303"/>
      <c r="E178" s="303"/>
      <c r="F178" s="705">
        <f>1.25%*(C39)</f>
        <v>6916723.434374999</v>
      </c>
      <c r="G178" s="411"/>
      <c r="L178" s="61"/>
    </row>
    <row r="179" spans="1:7" ht="12.75">
      <c r="A179" s="602" t="s">
        <v>504</v>
      </c>
      <c r="B179" s="340"/>
      <c r="C179" s="340"/>
      <c r="D179" s="340"/>
      <c r="E179" s="340"/>
      <c r="F179" s="603"/>
      <c r="G179" s="411"/>
    </row>
    <row r="180" spans="1:7" ht="12.75">
      <c r="A180" s="604" t="s">
        <v>651</v>
      </c>
      <c r="B180" s="303"/>
      <c r="C180" s="303"/>
      <c r="D180" s="303"/>
      <c r="E180" s="303"/>
      <c r="F180" s="609">
        <f>'Fecha de pago'!J74/'Fecha de pago'!J80</f>
        <v>0.0632524968832784</v>
      </c>
      <c r="G180" s="316"/>
    </row>
    <row r="181" spans="1:10" ht="12.75">
      <c r="A181" s="604" t="s">
        <v>702</v>
      </c>
      <c r="B181" s="303"/>
      <c r="C181" s="303"/>
      <c r="D181" s="303"/>
      <c r="E181" s="303"/>
      <c r="F181" s="705" t="str">
        <f>IF(F182&lt;F183,"SÍ","NO")</f>
        <v>NO</v>
      </c>
      <c r="J181" s="222">
        <v>7581266.94</v>
      </c>
    </row>
    <row r="182" spans="1:10" ht="12.75">
      <c r="A182" s="604" t="s">
        <v>1476</v>
      </c>
      <c r="B182" s="303"/>
      <c r="C182" s="303"/>
      <c r="D182" s="303"/>
      <c r="E182" s="303"/>
      <c r="F182" s="705">
        <f>+F177</f>
        <v>8376304.24</v>
      </c>
      <c r="J182" s="222">
        <v>7188738.5200000005</v>
      </c>
    </row>
    <row r="183" spans="1:10" ht="13.5" thickBot="1">
      <c r="A183" s="604" t="s">
        <v>1475</v>
      </c>
      <c r="B183" s="344"/>
      <c r="C183" s="344"/>
      <c r="D183" s="344"/>
      <c r="E183" s="344"/>
      <c r="F183" s="706">
        <f>1%*(C39)</f>
        <v>5533378.747499999</v>
      </c>
      <c r="J183" s="410">
        <f>SUM(J181:J182)</f>
        <v>14770005.46</v>
      </c>
    </row>
    <row r="184" spans="1:6" ht="12.75">
      <c r="A184" s="602" t="s">
        <v>703</v>
      </c>
      <c r="B184" s="303"/>
      <c r="C184" s="303"/>
      <c r="D184" s="303"/>
      <c r="E184" s="303"/>
      <c r="F184" s="595"/>
    </row>
    <row r="185" spans="1:6" ht="12.75">
      <c r="A185" s="604" t="s">
        <v>125</v>
      </c>
      <c r="B185" s="303"/>
      <c r="C185" s="303"/>
      <c r="D185" s="303"/>
      <c r="E185" s="303"/>
      <c r="F185" s="609">
        <f>'Fecha de pago'!J75/'Fecha de pago'!J80</f>
        <v>0.0632524968832784</v>
      </c>
    </row>
    <row r="186" spans="1:6" ht="12.75">
      <c r="A186" s="604" t="s">
        <v>704</v>
      </c>
      <c r="B186" s="303"/>
      <c r="C186" s="303"/>
      <c r="D186" s="303"/>
      <c r="E186" s="303"/>
      <c r="F186" s="705" t="str">
        <f>IF(F187&lt;F188,"SÍ","NO")</f>
        <v>NO</v>
      </c>
    </row>
    <row r="187" spans="1:6" ht="12.75">
      <c r="A187" s="604" t="s">
        <v>1425</v>
      </c>
      <c r="B187" s="303"/>
      <c r="C187" s="303"/>
      <c r="D187" s="303"/>
      <c r="E187" s="303"/>
      <c r="F187" s="705">
        <f>+F182</f>
        <v>8376304.24</v>
      </c>
    </row>
    <row r="188" spans="1:6" ht="13.5" thickBot="1">
      <c r="A188" s="607" t="s">
        <v>1426</v>
      </c>
      <c r="B188" s="303"/>
      <c r="C188" s="303"/>
      <c r="D188" s="303"/>
      <c r="E188" s="303"/>
      <c r="F188" s="707">
        <f>0.75%*(C39)</f>
        <v>4150034.060624999</v>
      </c>
    </row>
    <row r="189" spans="1:6" ht="12.75">
      <c r="A189" s="602" t="s">
        <v>705</v>
      </c>
      <c r="B189" s="340"/>
      <c r="C189" s="340"/>
      <c r="D189" s="340"/>
      <c r="E189" s="340"/>
      <c r="F189" s="603"/>
    </row>
    <row r="190" spans="1:6" ht="12.75">
      <c r="A190" s="604" t="s">
        <v>742</v>
      </c>
      <c r="B190" s="303"/>
      <c r="C190" s="303"/>
      <c r="D190" s="303"/>
      <c r="E190" s="303"/>
      <c r="F190" s="610" t="s">
        <v>1054</v>
      </c>
    </row>
    <row r="191" spans="1:6" ht="13.5" thickBot="1">
      <c r="A191" s="611" t="s">
        <v>706</v>
      </c>
      <c r="B191" s="612"/>
      <c r="C191" s="612"/>
      <c r="D191" s="612"/>
      <c r="E191" s="612"/>
      <c r="F191" s="613" t="s">
        <v>1508</v>
      </c>
    </row>
    <row r="192" ht="13.5" thickTop="1"/>
    <row r="193" ht="12.75">
      <c r="A193" s="54" t="s">
        <v>1055</v>
      </c>
    </row>
    <row r="194" ht="13.5" thickBot="1">
      <c r="A194" s="54"/>
    </row>
    <row r="195" spans="1:6" ht="13.5" thickTop="1">
      <c r="A195" s="1096" t="s">
        <v>711</v>
      </c>
      <c r="B195" s="1097"/>
      <c r="C195" s="1097"/>
      <c r="D195" s="1097"/>
      <c r="E195" s="1097"/>
      <c r="F195" s="1098"/>
    </row>
    <row r="196" spans="1:6" ht="12.75">
      <c r="A196" s="1122"/>
      <c r="B196" s="1123"/>
      <c r="C196" s="1123"/>
      <c r="D196" s="1123"/>
      <c r="E196" s="1123"/>
      <c r="F196" s="1124"/>
    </row>
    <row r="197" spans="1:6" ht="12.75">
      <c r="A197" s="941" t="s">
        <v>713</v>
      </c>
      <c r="B197" s="431"/>
      <c r="C197" s="431"/>
      <c r="D197" s="431"/>
      <c r="E197" s="431"/>
      <c r="F197" s="942"/>
    </row>
    <row r="198" spans="1:6" ht="12.75">
      <c r="A198" s="596" t="s">
        <v>716</v>
      </c>
      <c r="B198" s="303"/>
      <c r="C198" s="303"/>
      <c r="D198" s="303"/>
      <c r="E198" s="303"/>
      <c r="F198" s="943">
        <f>C17</f>
        <v>0</v>
      </c>
    </row>
    <row r="199" spans="1:6" ht="12.75">
      <c r="A199" s="596"/>
      <c r="B199" s="303" t="s">
        <v>301</v>
      </c>
      <c r="C199" s="303"/>
      <c r="D199" s="303"/>
      <c r="E199" s="303"/>
      <c r="F199" s="943"/>
    </row>
    <row r="200" spans="1:6" ht="12.75">
      <c r="A200" s="944" t="s">
        <v>717</v>
      </c>
      <c r="B200" s="927" t="s">
        <v>714</v>
      </c>
      <c r="C200" s="303"/>
      <c r="D200" s="303"/>
      <c r="E200" s="303"/>
      <c r="F200" s="943">
        <f>75%*'Fecha de pago'!W73</f>
        <v>52500000</v>
      </c>
    </row>
    <row r="201" spans="1:6" ht="12.75">
      <c r="A201" s="944" t="s">
        <v>718</v>
      </c>
      <c r="B201" s="303" t="s">
        <v>712</v>
      </c>
      <c r="C201" s="303"/>
      <c r="D201" s="303"/>
      <c r="E201" s="303"/>
      <c r="F201" s="943">
        <f>'Fecha de pago'!W74+'Fecha de pago'!W75</f>
        <v>70000000</v>
      </c>
    </row>
    <row r="202" spans="1:6" ht="6" customHeight="1">
      <c r="A202" s="596"/>
      <c r="B202" s="303"/>
      <c r="C202" s="303"/>
      <c r="D202" s="303"/>
      <c r="E202" s="303"/>
      <c r="F202" s="595"/>
    </row>
    <row r="203" spans="1:6" ht="12.75">
      <c r="A203" s="596" t="s">
        <v>715</v>
      </c>
      <c r="B203" s="303"/>
      <c r="C203" s="303"/>
      <c r="D203" s="303"/>
      <c r="E203" s="303"/>
      <c r="F203" s="929">
        <f>'Fecha de pago'!W71+'Fecha de pago'!W72</f>
        <v>413337840</v>
      </c>
    </row>
    <row r="204" spans="1:6" ht="6.75" customHeight="1">
      <c r="A204" s="945"/>
      <c r="B204" s="303"/>
      <c r="C204" s="303"/>
      <c r="D204" s="303"/>
      <c r="E204" s="303"/>
      <c r="F204" s="595"/>
    </row>
    <row r="205" spans="1:6" ht="13.5" thickBot="1">
      <c r="A205" s="946" t="str">
        <f>IF(OR(F203&lt;&gt;0,F200+F201&gt;F198),"No hay diferimiento de intereses de la Serie B","Sí hay diferimiento de intereses de la Serie B")</f>
        <v>No hay diferimiento de intereses de la Serie B</v>
      </c>
      <c r="B205" s="612"/>
      <c r="C205" s="612"/>
      <c r="D205" s="612"/>
      <c r="E205" s="612"/>
      <c r="F205" s="947"/>
    </row>
    <row r="206" spans="1:6" ht="13.5" thickTop="1">
      <c r="A206" s="949" t="s">
        <v>719</v>
      </c>
      <c r="B206" s="545"/>
      <c r="C206" s="545"/>
      <c r="D206" s="545"/>
      <c r="E206" s="545"/>
      <c r="F206" s="546"/>
    </row>
    <row r="207" spans="1:6" ht="12.75">
      <c r="A207" s="596" t="s">
        <v>716</v>
      </c>
      <c r="B207" s="303"/>
      <c r="C207" s="303"/>
      <c r="D207" s="303"/>
      <c r="E207" s="303"/>
      <c r="F207" s="943">
        <f>F198</f>
        <v>0</v>
      </c>
    </row>
    <row r="208" spans="1:6" ht="12.75">
      <c r="A208" s="596"/>
      <c r="B208" s="303" t="s">
        <v>301</v>
      </c>
      <c r="C208" s="303"/>
      <c r="D208" s="303"/>
      <c r="E208" s="303"/>
      <c r="F208" s="943"/>
    </row>
    <row r="209" spans="1:6" ht="12.75">
      <c r="A209" s="944" t="s">
        <v>717</v>
      </c>
      <c r="B209" s="927" t="s">
        <v>720</v>
      </c>
      <c r="C209" s="303"/>
      <c r="D209" s="303"/>
      <c r="E209" s="303"/>
      <c r="F209" s="943">
        <f>75%*'Fecha de pago'!W74</f>
        <v>26250000</v>
      </c>
    </row>
    <row r="210" spans="1:6" ht="12.75">
      <c r="A210" s="944" t="s">
        <v>718</v>
      </c>
      <c r="B210" s="303" t="s">
        <v>721</v>
      </c>
      <c r="C210" s="303"/>
      <c r="D210" s="303"/>
      <c r="E210" s="303"/>
      <c r="F210" s="943">
        <f>'Fecha de pago'!W75</f>
        <v>35000000</v>
      </c>
    </row>
    <row r="211" spans="1:6" ht="5.25" customHeight="1">
      <c r="A211" s="596"/>
      <c r="B211" s="303"/>
      <c r="C211" s="303"/>
      <c r="D211" s="303"/>
      <c r="E211" s="303"/>
      <c r="F211" s="595"/>
    </row>
    <row r="212" spans="1:6" ht="12.75">
      <c r="A212" s="596" t="s">
        <v>724</v>
      </c>
      <c r="B212" s="303"/>
      <c r="C212" s="303"/>
      <c r="D212" s="303"/>
      <c r="E212" s="303"/>
      <c r="F212" s="929">
        <f>SUM('Fecha de pago'!W71:W73)</f>
        <v>483337840</v>
      </c>
    </row>
    <row r="213" spans="1:6" ht="6" customHeight="1">
      <c r="A213" s="945"/>
      <c r="B213" s="303"/>
      <c r="C213" s="303"/>
      <c r="D213" s="303"/>
      <c r="E213" s="303"/>
      <c r="F213" s="595"/>
    </row>
    <row r="214" spans="1:6" ht="13.5" thickBot="1">
      <c r="A214" s="946" t="str">
        <f>IF(OR(F212&lt;&gt;0,F209+F210&gt;F207),"No hay diferimiento de intereses de la Serie C","Sí hay diferimiento de intereses de la Serie C")</f>
        <v>No hay diferimiento de intereses de la Serie C</v>
      </c>
      <c r="B214" s="612"/>
      <c r="C214" s="612"/>
      <c r="D214" s="612"/>
      <c r="E214" s="612"/>
      <c r="F214" s="947"/>
    </row>
    <row r="215" spans="1:6" ht="13.5" thickTop="1">
      <c r="A215" s="948" t="s">
        <v>722</v>
      </c>
      <c r="B215" s="303"/>
      <c r="C215" s="303"/>
      <c r="D215" s="303"/>
      <c r="E215" s="303"/>
      <c r="F215" s="595"/>
    </row>
    <row r="216" spans="1:6" ht="12.75">
      <c r="A216" s="596" t="s">
        <v>716</v>
      </c>
      <c r="B216" s="303"/>
      <c r="C216" s="303"/>
      <c r="D216" s="303"/>
      <c r="E216" s="303"/>
      <c r="F216" s="943">
        <f>F207</f>
        <v>0</v>
      </c>
    </row>
    <row r="217" spans="1:6" ht="12.75">
      <c r="A217" s="596"/>
      <c r="B217" s="303" t="s">
        <v>302</v>
      </c>
      <c r="C217" s="303"/>
      <c r="D217" s="303"/>
      <c r="E217" s="303"/>
      <c r="F217" s="943"/>
    </row>
    <row r="218" spans="1:6" ht="12.75">
      <c r="A218" s="944" t="s">
        <v>717</v>
      </c>
      <c r="B218" s="927" t="s">
        <v>723</v>
      </c>
      <c r="C218" s="303"/>
      <c r="D218" s="303"/>
      <c r="E218" s="303"/>
      <c r="F218" s="943">
        <f>75%*'Fecha de pago'!W75</f>
        <v>26250000</v>
      </c>
    </row>
    <row r="219" spans="1:6" ht="4.5" customHeight="1">
      <c r="A219" s="596"/>
      <c r="B219" s="303"/>
      <c r="C219" s="303"/>
      <c r="D219" s="303"/>
      <c r="E219" s="303"/>
      <c r="F219" s="595"/>
    </row>
    <row r="220" spans="1:6" ht="12.75">
      <c r="A220" s="596" t="s">
        <v>725</v>
      </c>
      <c r="B220" s="303"/>
      <c r="C220" s="303"/>
      <c r="D220" s="303"/>
      <c r="E220" s="303"/>
      <c r="F220" s="929">
        <f>SUM('Fecha de pago'!W72:W74)</f>
        <v>518337840</v>
      </c>
    </row>
    <row r="221" spans="1:6" ht="3.75" customHeight="1">
      <c r="A221" s="945"/>
      <c r="B221" s="303"/>
      <c r="C221" s="303"/>
      <c r="D221" s="303"/>
      <c r="E221" s="303"/>
      <c r="F221" s="595"/>
    </row>
    <row r="222" spans="1:6" ht="13.5" thickBot="1">
      <c r="A222" s="946" t="str">
        <f>IF(OR(F220&lt;&gt;0,F218&gt;F216),"No hay diferimiento de intereses de la Serie D","Sí hay diferimiento de intereses de la Serie D")</f>
        <v>No hay diferimiento de intereses de la Serie D</v>
      </c>
      <c r="B222" s="612"/>
      <c r="C222" s="612"/>
      <c r="D222" s="612"/>
      <c r="E222" s="612"/>
      <c r="F222" s="947"/>
    </row>
    <row r="223" ht="13.5" thickTop="1">
      <c r="A223" s="54"/>
    </row>
    <row r="224" ht="12.75">
      <c r="A224" s="54"/>
    </row>
    <row r="225" ht="12.75">
      <c r="A225" s="54"/>
    </row>
    <row r="226" ht="13.5" thickBot="1">
      <c r="A226" s="54"/>
    </row>
    <row r="227" spans="1:7" ht="18" thickBot="1">
      <c r="A227" s="1060" t="s">
        <v>1066</v>
      </c>
      <c r="B227" s="1061"/>
      <c r="C227" s="1061"/>
      <c r="D227" s="1061"/>
      <c r="E227" s="1061"/>
      <c r="F227" s="1061"/>
      <c r="G227" s="1062"/>
    </row>
    <row r="228" spans="1:7" ht="17.25">
      <c r="A228" s="1063">
        <f>+A145</f>
        <v>40350</v>
      </c>
      <c r="B228" s="1063"/>
      <c r="C228" s="1063"/>
      <c r="D228" s="1063"/>
      <c r="E228" s="1063"/>
      <c r="F228" s="1063"/>
      <c r="G228" s="1063"/>
    </row>
    <row r="229" spans="1:6" ht="13.5" thickBot="1">
      <c r="A229" s="526"/>
      <c r="C229" s="618"/>
      <c r="D229" s="235"/>
      <c r="E229" s="235"/>
      <c r="F229" s="619"/>
    </row>
    <row r="230" spans="1:6" ht="14.25" thickBot="1" thickTop="1">
      <c r="A230" s="1068" t="s">
        <v>1067</v>
      </c>
      <c r="B230" s="1069"/>
      <c r="C230" s="1069"/>
      <c r="D230" s="1069"/>
      <c r="E230" s="1069"/>
      <c r="F230" s="1070"/>
    </row>
    <row r="231" spans="1:7" ht="14.25" thickBot="1" thickTop="1">
      <c r="A231" s="1110" t="s">
        <v>1068</v>
      </c>
      <c r="B231" s="1110"/>
      <c r="C231" s="647" t="s">
        <v>1069</v>
      </c>
      <c r="D231" s="647" t="s">
        <v>1070</v>
      </c>
      <c r="E231" s="647" t="s">
        <v>1071</v>
      </c>
      <c r="F231" s="648" t="s">
        <v>1070</v>
      </c>
      <c r="G231" s="966" t="s">
        <v>1041</v>
      </c>
    </row>
    <row r="232" spans="1:7" ht="13.5" thickTop="1">
      <c r="A232" s="596"/>
      <c r="B232" s="303"/>
      <c r="C232" s="620"/>
      <c r="D232" s="621"/>
      <c r="E232" s="621"/>
      <c r="F232" s="622"/>
      <c r="G232" s="966"/>
    </row>
    <row r="233" spans="1:6" ht="12.75">
      <c r="A233" s="623">
        <v>0</v>
      </c>
      <c r="B233" s="624">
        <v>0.1</v>
      </c>
      <c r="C233" s="625">
        <f>+$C$245*D233/1000</f>
        <v>1948.598696176</v>
      </c>
      <c r="D233" s="626">
        <v>0.0107</v>
      </c>
      <c r="E233" s="627">
        <f>+$E$245*F233</f>
        <v>42.934999999999995</v>
      </c>
      <c r="F233" s="628">
        <v>0.0277</v>
      </c>
    </row>
    <row r="234" spans="1:6" ht="12.75">
      <c r="A234" s="623">
        <f>+B233+0.01%</f>
        <v>0.10010000000000001</v>
      </c>
      <c r="B234" s="624">
        <f aca="true" t="shared" si="0" ref="B234:B242">10%+B233</f>
        <v>0.2</v>
      </c>
      <c r="C234" s="629">
        <f aca="true" t="shared" si="1" ref="C234:C243">+$C$245*D234/1000</f>
        <v>7539.4379459520005</v>
      </c>
      <c r="D234" s="630">
        <v>0.0414</v>
      </c>
      <c r="E234" s="631">
        <f aca="true" t="shared" si="2" ref="E234:E244">+$E$245*F234</f>
        <v>112.995</v>
      </c>
      <c r="F234" s="632">
        <v>0.0729</v>
      </c>
    </row>
    <row r="235" spans="1:6" ht="12.75">
      <c r="A235" s="623">
        <f>+B234+0.01%</f>
        <v>0.2001</v>
      </c>
      <c r="B235" s="624">
        <f t="shared" si="0"/>
        <v>0.30000000000000004</v>
      </c>
      <c r="C235" s="629">
        <f t="shared" si="1"/>
        <v>15333.832730656</v>
      </c>
      <c r="D235" s="630">
        <v>0.0842</v>
      </c>
      <c r="E235" s="631">
        <f t="shared" si="2"/>
        <v>190.96</v>
      </c>
      <c r="F235" s="632">
        <v>0.1232</v>
      </c>
    </row>
    <row r="236" spans="1:6" ht="12.75">
      <c r="A236" s="623">
        <f>+B235+0.01%</f>
        <v>0.30010000000000003</v>
      </c>
      <c r="B236" s="624">
        <f t="shared" si="0"/>
        <v>0.4</v>
      </c>
      <c r="C236" s="629">
        <f t="shared" si="1"/>
        <v>29028.657212192</v>
      </c>
      <c r="D236" s="630">
        <v>0.1594</v>
      </c>
      <c r="E236" s="631">
        <f t="shared" si="2"/>
        <v>277.91499999999996</v>
      </c>
      <c r="F236" s="632">
        <v>0.1793</v>
      </c>
    </row>
    <row r="237" spans="1:6" ht="12.75">
      <c r="A237" s="623">
        <f aca="true" t="shared" si="3" ref="A237:A243">+B236+0.01%</f>
        <v>0.4001</v>
      </c>
      <c r="B237" s="624">
        <f t="shared" si="0"/>
        <v>0.5</v>
      </c>
      <c r="C237" s="629">
        <f t="shared" si="1"/>
        <v>41102.684647376</v>
      </c>
      <c r="D237" s="630">
        <v>0.2257</v>
      </c>
      <c r="E237" s="631">
        <f t="shared" si="2"/>
        <v>346.89</v>
      </c>
      <c r="F237" s="632">
        <v>0.2238</v>
      </c>
    </row>
    <row r="238" spans="1:6" ht="12.75">
      <c r="A238" s="623">
        <f t="shared" si="3"/>
        <v>0.5001</v>
      </c>
      <c r="B238" s="624">
        <f t="shared" si="0"/>
        <v>0.6</v>
      </c>
      <c r="C238" s="629">
        <f t="shared" si="1"/>
        <v>40847.727808624</v>
      </c>
      <c r="D238" s="630">
        <v>0.2243</v>
      </c>
      <c r="E238" s="631">
        <f t="shared" si="2"/>
        <v>308.915</v>
      </c>
      <c r="F238" s="632">
        <v>0.1993</v>
      </c>
    </row>
    <row r="239" spans="1:6" ht="12.75">
      <c r="A239" s="623">
        <f t="shared" si="3"/>
        <v>0.6001</v>
      </c>
      <c r="B239" s="624">
        <f t="shared" si="0"/>
        <v>0.7</v>
      </c>
      <c r="C239" s="629">
        <f t="shared" si="1"/>
        <v>26424.455216368002</v>
      </c>
      <c r="D239" s="630">
        <v>0.1451</v>
      </c>
      <c r="E239" s="631">
        <f t="shared" si="2"/>
        <v>186.93</v>
      </c>
      <c r="F239" s="632">
        <v>0.1206</v>
      </c>
    </row>
    <row r="240" spans="1:6" ht="12.75">
      <c r="A240" s="623">
        <f t="shared" si="3"/>
        <v>0.7001</v>
      </c>
      <c r="B240" s="624">
        <f t="shared" si="0"/>
        <v>0.7999999999999999</v>
      </c>
      <c r="C240" s="629">
        <f t="shared" si="1"/>
        <v>15024.2422836</v>
      </c>
      <c r="D240" s="630">
        <v>0.0825</v>
      </c>
      <c r="E240" s="631">
        <f t="shared" si="2"/>
        <v>64.945</v>
      </c>
      <c r="F240" s="632">
        <v>0.0419</v>
      </c>
    </row>
    <row r="241" spans="1:6" ht="12.75">
      <c r="A241" s="623">
        <f t="shared" si="3"/>
        <v>0.8000999999999999</v>
      </c>
      <c r="B241" s="624">
        <f t="shared" si="0"/>
        <v>0.8999999999999999</v>
      </c>
      <c r="C241" s="629">
        <f t="shared" si="1"/>
        <v>1893.965087872</v>
      </c>
      <c r="D241" s="630">
        <v>0.0104</v>
      </c>
      <c r="E241" s="631">
        <f t="shared" si="2"/>
        <v>7.905</v>
      </c>
      <c r="F241" s="632">
        <v>0.0051</v>
      </c>
    </row>
    <row r="242" spans="1:6" ht="12.75">
      <c r="A242" s="623">
        <f t="shared" si="3"/>
        <v>0.9000999999999999</v>
      </c>
      <c r="B242" s="624">
        <f t="shared" si="0"/>
        <v>0.9999999999999999</v>
      </c>
      <c r="C242" s="629">
        <f t="shared" si="1"/>
        <v>655.6032996480001</v>
      </c>
      <c r="D242" s="630">
        <v>0.0036</v>
      </c>
      <c r="E242" s="631">
        <f t="shared" si="2"/>
        <v>2.945</v>
      </c>
      <c r="F242" s="632">
        <v>0.0019</v>
      </c>
    </row>
    <row r="243" spans="1:6" ht="12.75">
      <c r="A243" s="623">
        <f t="shared" si="3"/>
        <v>1.0001</v>
      </c>
      <c r="B243" s="633" t="s">
        <v>1072</v>
      </c>
      <c r="C243" s="629">
        <f t="shared" si="1"/>
        <v>2203.5555349280003</v>
      </c>
      <c r="D243" s="630">
        <v>0.0121</v>
      </c>
      <c r="E243" s="631">
        <f t="shared" si="2"/>
        <v>5.89</v>
      </c>
      <c r="F243" s="632">
        <v>0.0038</v>
      </c>
    </row>
    <row r="244" spans="1:6" ht="13.5" thickBot="1">
      <c r="A244" s="1111" t="s">
        <v>1112</v>
      </c>
      <c r="B244" s="1112"/>
      <c r="C244" s="634">
        <f>C43/1000-SUM(C233:C243)</f>
        <v>109.26721660801559</v>
      </c>
      <c r="D244" s="635">
        <f>100%-SUM(D233:D243)</f>
        <v>0.0005999999999999339</v>
      </c>
      <c r="E244" s="636">
        <f t="shared" si="2"/>
        <v>0.7749999999997426</v>
      </c>
      <c r="F244" s="637">
        <f>100%-SUM(F233:F243)</f>
        <v>0.0004999999999998339</v>
      </c>
    </row>
    <row r="245" spans="1:6" ht="13.5" thickTop="1">
      <c r="A245" s="638"/>
      <c r="B245" s="639"/>
      <c r="C245" s="640">
        <f>C43</f>
        <v>182112027.68</v>
      </c>
      <c r="D245" s="641">
        <f>SUM(D233:D244)</f>
        <v>1</v>
      </c>
      <c r="E245" s="642">
        <v>1550</v>
      </c>
      <c r="F245" s="641">
        <f>SUM(F233:F244)</f>
        <v>1</v>
      </c>
    </row>
    <row r="246" spans="1:6" ht="12.75">
      <c r="A246" s="639" t="s">
        <v>1113</v>
      </c>
      <c r="B246" s="643">
        <v>1.1322</v>
      </c>
      <c r="C246" s="644"/>
      <c r="D246" s="645"/>
      <c r="E246" s="645"/>
      <c r="F246" s="619"/>
    </row>
    <row r="247" spans="1:6" ht="12.75">
      <c r="A247" s="639" t="s">
        <v>1114</v>
      </c>
      <c r="B247" s="643">
        <v>0.002</v>
      </c>
      <c r="C247" s="644"/>
      <c r="D247" s="645"/>
      <c r="E247" s="645"/>
      <c r="F247" s="619"/>
    </row>
    <row r="248" spans="1:6" ht="12.75">
      <c r="A248" s="639" t="s">
        <v>1115</v>
      </c>
      <c r="B248" s="643">
        <v>0.4939</v>
      </c>
      <c r="C248" s="646"/>
      <c r="D248" s="646"/>
      <c r="E248" s="639"/>
      <c r="F248" s="639"/>
    </row>
    <row r="250" ht="13.5" thickBot="1"/>
    <row r="251" spans="1:7" ht="18" thickBot="1">
      <c r="A251" s="1060" t="s">
        <v>1125</v>
      </c>
      <c r="B251" s="1061"/>
      <c r="C251" s="1061"/>
      <c r="D251" s="1061"/>
      <c r="E251" s="1061"/>
      <c r="F251" s="1061"/>
      <c r="G251" s="1062"/>
    </row>
    <row r="252" spans="1:7" ht="17.25">
      <c r="A252" s="1063">
        <f>+A228</f>
        <v>40350</v>
      </c>
      <c r="B252" s="1063"/>
      <c r="C252" s="1063"/>
      <c r="D252" s="1063"/>
      <c r="E252" s="1063"/>
      <c r="F252" s="1063"/>
      <c r="G252" s="1063"/>
    </row>
    <row r="253" ht="13.5" thickBot="1"/>
    <row r="254" spans="1:7" ht="14.25" thickBot="1" thickTop="1">
      <c r="A254" s="1068" t="s">
        <v>1126</v>
      </c>
      <c r="B254" s="1069"/>
      <c r="C254" s="1069"/>
      <c r="D254" s="1070"/>
      <c r="G254" s="966" t="s">
        <v>1041</v>
      </c>
    </row>
    <row r="255" spans="1:13" ht="14.25" thickBot="1" thickTop="1">
      <c r="A255" s="1068" t="s">
        <v>1127</v>
      </c>
      <c r="B255" s="1115"/>
      <c r="C255" s="541" t="s">
        <v>1128</v>
      </c>
      <c r="D255" s="566" t="s">
        <v>1129</v>
      </c>
      <c r="F255" s="411"/>
      <c r="G255" s="966"/>
      <c r="M255" s="47" t="s">
        <v>1139</v>
      </c>
    </row>
    <row r="256" spans="1:13" ht="13.5" thickTop="1">
      <c r="A256" s="1116">
        <v>1</v>
      </c>
      <c r="B256" s="1117"/>
      <c r="C256" s="669">
        <f>M256</f>
        <v>16227000</v>
      </c>
      <c r="D256" s="670">
        <f>C256/$C$39</f>
        <v>0.029325662927612572</v>
      </c>
      <c r="L256" s="922">
        <v>12000000</v>
      </c>
      <c r="M256" s="411">
        <v>16227000</v>
      </c>
    </row>
    <row r="257" spans="1:13" ht="12.75">
      <c r="A257" s="1113">
        <v>2</v>
      </c>
      <c r="B257" s="1114"/>
      <c r="C257" s="669">
        <f aca="true" t="shared" si="4" ref="C257:C275">M257</f>
        <v>14435270.97</v>
      </c>
      <c r="D257" s="671">
        <f aca="true" t="shared" si="5" ref="D257:D275">C257/$C$39</f>
        <v>0.026087624991370618</v>
      </c>
      <c r="L257" s="923">
        <v>10391987</v>
      </c>
      <c r="M257" s="411">
        <v>14435270.97</v>
      </c>
    </row>
    <row r="258" spans="1:13" ht="12.75">
      <c r="A258" s="1113">
        <v>3</v>
      </c>
      <c r="B258" s="1114"/>
      <c r="C258" s="669">
        <f t="shared" si="4"/>
        <v>13500000</v>
      </c>
      <c r="D258" s="671">
        <f t="shared" si="5"/>
        <v>0.0243973901228058</v>
      </c>
      <c r="L258" s="923">
        <v>9266496</v>
      </c>
      <c r="M258" s="411">
        <v>13500000</v>
      </c>
    </row>
    <row r="259" spans="1:13" ht="12.75">
      <c r="A259" s="1113">
        <v>4</v>
      </c>
      <c r="B259" s="1114"/>
      <c r="C259" s="669">
        <f t="shared" si="4"/>
        <v>12000000</v>
      </c>
      <c r="D259" s="671">
        <f t="shared" si="5"/>
        <v>0.0216865689980496</v>
      </c>
      <c r="L259" s="923">
        <v>7170000</v>
      </c>
      <c r="M259" s="411">
        <v>12000000</v>
      </c>
    </row>
    <row r="260" spans="1:13" ht="12.75">
      <c r="A260" s="1113">
        <v>5</v>
      </c>
      <c r="B260" s="1114"/>
      <c r="C260" s="669">
        <f t="shared" si="4"/>
        <v>10391987</v>
      </c>
      <c r="D260" s="671">
        <f t="shared" si="5"/>
        <v>0.018780545258527872</v>
      </c>
      <c r="L260" s="923">
        <v>2494274.75</v>
      </c>
      <c r="M260" s="411">
        <v>10391987</v>
      </c>
    </row>
    <row r="261" spans="1:13" ht="12.75">
      <c r="A261" s="1113">
        <v>6</v>
      </c>
      <c r="B261" s="1114"/>
      <c r="C261" s="669">
        <f t="shared" si="4"/>
        <v>9666666.76</v>
      </c>
      <c r="D261" s="671">
        <f t="shared" si="5"/>
        <v>0.017469736305991048</v>
      </c>
      <c r="L261" s="923">
        <v>2019630.29</v>
      </c>
      <c r="M261" s="411">
        <v>9666666.76</v>
      </c>
    </row>
    <row r="262" spans="1:13" ht="12.75">
      <c r="A262" s="1113">
        <v>7</v>
      </c>
      <c r="B262" s="1114"/>
      <c r="C262" s="669">
        <f t="shared" si="4"/>
        <v>9326382.33</v>
      </c>
      <c r="D262" s="671">
        <f t="shared" si="5"/>
        <v>0.0168547694918113</v>
      </c>
      <c r="L262" s="923">
        <v>1912247.04</v>
      </c>
      <c r="M262" s="411">
        <v>9326382.33</v>
      </c>
    </row>
    <row r="263" spans="1:13" ht="12.75">
      <c r="A263" s="1113">
        <v>8</v>
      </c>
      <c r="B263" s="1114"/>
      <c r="C263" s="669">
        <f t="shared" si="4"/>
        <v>5592652.42</v>
      </c>
      <c r="D263" s="671">
        <f t="shared" si="5"/>
        <v>0.010107120215703256</v>
      </c>
      <c r="L263" s="923">
        <v>1910523.89</v>
      </c>
      <c r="M263" s="411">
        <v>5592652.42</v>
      </c>
    </row>
    <row r="264" spans="1:13" ht="12.75">
      <c r="A264" s="1113">
        <v>9</v>
      </c>
      <c r="B264" s="1114"/>
      <c r="C264" s="669">
        <f t="shared" si="4"/>
        <v>5487685.99</v>
      </c>
      <c r="D264" s="671">
        <f t="shared" si="5"/>
        <v>0.009917423405147095</v>
      </c>
      <c r="L264" s="923">
        <v>1580759.61</v>
      </c>
      <c r="M264" s="411">
        <v>5487685.99</v>
      </c>
    </row>
    <row r="265" spans="1:13" ht="12.75">
      <c r="A265" s="1113">
        <v>10</v>
      </c>
      <c r="B265" s="1114"/>
      <c r="C265" s="669">
        <f t="shared" si="4"/>
        <v>5250000</v>
      </c>
      <c r="D265" s="671">
        <f t="shared" si="5"/>
        <v>0.0094878739366467</v>
      </c>
      <c r="L265" s="923">
        <v>1571000</v>
      </c>
      <c r="M265" s="411">
        <v>5250000</v>
      </c>
    </row>
    <row r="266" spans="1:13" ht="12.75">
      <c r="A266" s="1113">
        <v>11</v>
      </c>
      <c r="B266" s="1114"/>
      <c r="C266" s="669">
        <f t="shared" si="4"/>
        <v>4313656.48</v>
      </c>
      <c r="D266" s="671">
        <f t="shared" si="5"/>
        <v>0.007795700740616981</v>
      </c>
      <c r="L266" s="923">
        <v>1553978.65</v>
      </c>
      <c r="M266" s="411">
        <v>4313656.48</v>
      </c>
    </row>
    <row r="267" spans="1:13" ht="12.75">
      <c r="A267" s="1113">
        <v>12</v>
      </c>
      <c r="B267" s="1114"/>
      <c r="C267" s="669">
        <f t="shared" si="4"/>
        <v>4066986</v>
      </c>
      <c r="D267" s="671">
        <f t="shared" si="5"/>
        <v>0.00734991437525848</v>
      </c>
      <c r="L267" s="923">
        <v>1548605.81</v>
      </c>
      <c r="M267" s="411">
        <v>4066986</v>
      </c>
    </row>
    <row r="268" spans="1:13" ht="12.75">
      <c r="A268" s="1113">
        <v>13</v>
      </c>
      <c r="B268" s="1114"/>
      <c r="C268" s="669">
        <f t="shared" si="4"/>
        <v>3440033.86</v>
      </c>
      <c r="D268" s="671">
        <f t="shared" si="5"/>
        <v>0.006216877638376408</v>
      </c>
      <c r="L268" s="923">
        <v>1514395.94</v>
      </c>
      <c r="M268" s="411">
        <v>3440033.86</v>
      </c>
    </row>
    <row r="269" spans="1:13" ht="12.75">
      <c r="A269" s="1113">
        <v>14</v>
      </c>
      <c r="B269" s="1114"/>
      <c r="C269" s="669">
        <f t="shared" si="4"/>
        <v>3371492.13</v>
      </c>
      <c r="D269" s="671">
        <f t="shared" si="5"/>
        <v>0.006093008058635517</v>
      </c>
      <c r="L269" s="923">
        <v>1504777.03</v>
      </c>
      <c r="M269" s="411">
        <v>3371492.13</v>
      </c>
    </row>
    <row r="270" spans="1:13" ht="12.75">
      <c r="A270" s="1113">
        <v>15</v>
      </c>
      <c r="B270" s="1114"/>
      <c r="C270" s="669">
        <f t="shared" si="4"/>
        <v>2952324.43</v>
      </c>
      <c r="D270" s="671">
        <f t="shared" si="5"/>
        <v>0.005335482287985205</v>
      </c>
      <c r="L270" s="923">
        <v>1429674.22</v>
      </c>
      <c r="M270" s="411">
        <v>2952324.43</v>
      </c>
    </row>
    <row r="271" spans="1:13" ht="12.75">
      <c r="A271" s="1113">
        <v>16</v>
      </c>
      <c r="B271" s="1114"/>
      <c r="C271" s="669">
        <f t="shared" si="4"/>
        <v>2848500</v>
      </c>
      <c r="D271" s="671">
        <f t="shared" si="5"/>
        <v>0.0051478493159120235</v>
      </c>
      <c r="L271" s="923">
        <v>1392356.67</v>
      </c>
      <c r="M271" s="411">
        <v>2848500</v>
      </c>
    </row>
    <row r="272" spans="1:13" ht="12.75">
      <c r="A272" s="1113">
        <v>17</v>
      </c>
      <c r="B272" s="1114"/>
      <c r="C272" s="669">
        <f t="shared" si="4"/>
        <v>2822785.72</v>
      </c>
      <c r="D272" s="671">
        <f t="shared" si="5"/>
        <v>0.005101378106957427</v>
      </c>
      <c r="L272" s="923">
        <v>1386000</v>
      </c>
      <c r="M272" s="411">
        <v>2822785.72</v>
      </c>
    </row>
    <row r="273" spans="1:13" ht="12.75">
      <c r="A273" s="1113">
        <v>18</v>
      </c>
      <c r="B273" s="1114"/>
      <c r="C273" s="669">
        <f t="shared" si="4"/>
        <v>2818750</v>
      </c>
      <c r="D273" s="671">
        <f t="shared" si="5"/>
        <v>0.005094084696937693</v>
      </c>
      <c r="L273" s="923">
        <v>1318734.68</v>
      </c>
      <c r="M273" s="411">
        <v>2818750</v>
      </c>
    </row>
    <row r="274" spans="1:13" ht="12.75">
      <c r="A274" s="1113">
        <v>19</v>
      </c>
      <c r="B274" s="1114"/>
      <c r="C274" s="669">
        <f t="shared" si="4"/>
        <v>2686415.53</v>
      </c>
      <c r="D274" s="671">
        <f t="shared" si="5"/>
        <v>0.004854927979064749</v>
      </c>
      <c r="L274" s="923">
        <v>1220853.85</v>
      </c>
      <c r="M274" s="411">
        <v>2686415.53</v>
      </c>
    </row>
    <row r="275" spans="1:13" ht="13.5" thickBot="1">
      <c r="A275" s="1120">
        <v>20</v>
      </c>
      <c r="B275" s="1121"/>
      <c r="C275" s="672">
        <f t="shared" si="4"/>
        <v>2625000</v>
      </c>
      <c r="D275" s="673">
        <f t="shared" si="5"/>
        <v>0.00474393696832335</v>
      </c>
      <c r="L275" s="898">
        <v>16227000</v>
      </c>
      <c r="M275" s="411">
        <v>2625000</v>
      </c>
    </row>
    <row r="276" ht="13.5" thickTop="1">
      <c r="L276" s="898">
        <v>15700000</v>
      </c>
    </row>
    <row r="277" ht="13.5" thickBot="1">
      <c r="L277" s="898">
        <v>15411069.04</v>
      </c>
    </row>
    <row r="278" spans="1:13" ht="18" thickBot="1">
      <c r="A278" s="1060" t="s">
        <v>21</v>
      </c>
      <c r="B278" s="1061"/>
      <c r="C278" s="1061"/>
      <c r="D278" s="1061"/>
      <c r="E278" s="1061"/>
      <c r="F278" s="1061"/>
      <c r="G278" s="1062"/>
      <c r="L278" s="898">
        <v>10875000</v>
      </c>
      <c r="M278" s="411"/>
    </row>
    <row r="279" ht="12.75">
      <c r="L279" s="898">
        <v>10766196.21</v>
      </c>
    </row>
    <row r="280" spans="1:12" ht="12.75">
      <c r="A280" s="47" t="s">
        <v>22</v>
      </c>
      <c r="L280" s="898">
        <v>10048500</v>
      </c>
    </row>
    <row r="281" spans="1:12" ht="12.75">
      <c r="A281" s="47" t="s">
        <v>23</v>
      </c>
      <c r="L281" s="898">
        <v>7500000</v>
      </c>
    </row>
    <row r="282" spans="1:13" ht="12.75">
      <c r="A282" s="222" t="s">
        <v>1318</v>
      </c>
      <c r="L282" s="898">
        <v>6683804.46</v>
      </c>
      <c r="M282" s="411"/>
    </row>
    <row r="283" spans="12:13" ht="12.75">
      <c r="L283" s="898">
        <v>6456068.09</v>
      </c>
      <c r="M283" s="411"/>
    </row>
    <row r="284" spans="12:13" ht="12.75">
      <c r="L284" s="898">
        <v>6261355.4</v>
      </c>
      <c r="M284" s="411"/>
    </row>
    <row r="285" spans="12:13" ht="12.75">
      <c r="L285" s="898">
        <v>6000000</v>
      </c>
      <c r="M285" s="411"/>
    </row>
    <row r="286" spans="12:13" ht="12.75">
      <c r="L286" s="898">
        <v>4904760.37</v>
      </c>
      <c r="M286" s="411"/>
    </row>
    <row r="287" spans="12:13" ht="12.75">
      <c r="L287" s="898">
        <v>4609250.08</v>
      </c>
      <c r="M287" s="411"/>
    </row>
    <row r="288" spans="12:13" ht="12.75">
      <c r="L288" s="898">
        <v>4041263.06</v>
      </c>
      <c r="M288" s="411"/>
    </row>
    <row r="289" spans="12:13" ht="12.75">
      <c r="L289" s="898">
        <v>3871834.15</v>
      </c>
      <c r="M289" s="411"/>
    </row>
    <row r="290" spans="12:13" ht="12.75">
      <c r="L290" s="898">
        <v>3754976.93</v>
      </c>
      <c r="M290" s="411"/>
    </row>
    <row r="291" spans="12:13" ht="12.75">
      <c r="L291" s="898">
        <v>3706817.98</v>
      </c>
      <c r="M291" s="411"/>
    </row>
    <row r="292" spans="12:13" ht="12.75">
      <c r="L292" s="898">
        <v>3666666.68</v>
      </c>
      <c r="M292" s="411"/>
    </row>
    <row r="293" spans="12:13" ht="12.75">
      <c r="L293" s="898">
        <v>3222500</v>
      </c>
      <c r="M293" s="411"/>
    </row>
    <row r="294" spans="12:13" ht="12.75">
      <c r="L294" s="898">
        <v>3057132.68</v>
      </c>
      <c r="M294" s="411"/>
    </row>
    <row r="295" spans="12:13" ht="13.5" thickBot="1">
      <c r="L295" s="899"/>
      <c r="M295" s="411"/>
    </row>
  </sheetData>
  <mergeCells count="118">
    <mergeCell ref="G48:G49"/>
    <mergeCell ref="G100:G101"/>
    <mergeCell ref="A112:B113"/>
    <mergeCell ref="C112:C113"/>
    <mergeCell ref="C100:C101"/>
    <mergeCell ref="A100:B101"/>
    <mergeCell ref="A96:G96"/>
    <mergeCell ref="A97:G97"/>
    <mergeCell ref="E100:F101"/>
    <mergeCell ref="E102:F102"/>
    <mergeCell ref="E42:G42"/>
    <mergeCell ref="A56:C56"/>
    <mergeCell ref="E56:G56"/>
    <mergeCell ref="A52:B52"/>
    <mergeCell ref="A53:B53"/>
    <mergeCell ref="A54:B54"/>
    <mergeCell ref="A51:B51"/>
    <mergeCell ref="A50:B50"/>
    <mergeCell ref="F48:F49"/>
    <mergeCell ref="A47:G47"/>
    <mergeCell ref="A278:G278"/>
    <mergeCell ref="A270:B270"/>
    <mergeCell ref="A263:B263"/>
    <mergeCell ref="A264:B264"/>
    <mergeCell ref="A265:B265"/>
    <mergeCell ref="A266:B266"/>
    <mergeCell ref="A269:B269"/>
    <mergeCell ref="AC22:AF22"/>
    <mergeCell ref="E57:F57"/>
    <mergeCell ref="A275:B275"/>
    <mergeCell ref="A271:B271"/>
    <mergeCell ref="A272:B272"/>
    <mergeCell ref="A273:B273"/>
    <mergeCell ref="A274:B274"/>
    <mergeCell ref="A267:B267"/>
    <mergeCell ref="A268:B268"/>
    <mergeCell ref="A195:F196"/>
    <mergeCell ref="A260:B260"/>
    <mergeCell ref="A261:B261"/>
    <mergeCell ref="A262:B262"/>
    <mergeCell ref="A255:B255"/>
    <mergeCell ref="A256:B256"/>
    <mergeCell ref="A257:B257"/>
    <mergeCell ref="A258:B258"/>
    <mergeCell ref="A259:B259"/>
    <mergeCell ref="A244:B244"/>
    <mergeCell ref="A251:G251"/>
    <mergeCell ref="A252:G252"/>
    <mergeCell ref="A254:D254"/>
    <mergeCell ref="A227:G227"/>
    <mergeCell ref="A228:G228"/>
    <mergeCell ref="A230:F230"/>
    <mergeCell ref="A231:B231"/>
    <mergeCell ref="P40:U40"/>
    <mergeCell ref="Q22:T22"/>
    <mergeCell ref="U22:X22"/>
    <mergeCell ref="Y22:AB22"/>
    <mergeCell ref="A138:B139"/>
    <mergeCell ref="C138:C139"/>
    <mergeCell ref="C129:C130"/>
    <mergeCell ref="A131:B131"/>
    <mergeCell ref="A145:G145"/>
    <mergeCell ref="A166:F167"/>
    <mergeCell ref="A140:B140"/>
    <mergeCell ref="A141:B141"/>
    <mergeCell ref="A148:F149"/>
    <mergeCell ref="A144:G144"/>
    <mergeCell ref="E103:F103"/>
    <mergeCell ref="E104:F104"/>
    <mergeCell ref="A137:D137"/>
    <mergeCell ref="A132:B132"/>
    <mergeCell ref="A129:B130"/>
    <mergeCell ref="A118:B118"/>
    <mergeCell ref="A121:G121"/>
    <mergeCell ref="A122:G122"/>
    <mergeCell ref="A128:D128"/>
    <mergeCell ref="A117:B117"/>
    <mergeCell ref="A116:B116"/>
    <mergeCell ref="A48:B49"/>
    <mergeCell ref="C48:C49"/>
    <mergeCell ref="A39:B39"/>
    <mergeCell ref="A42:B42"/>
    <mergeCell ref="A43:B43"/>
    <mergeCell ref="E36:G36"/>
    <mergeCell ref="E37:F37"/>
    <mergeCell ref="E38:F38"/>
    <mergeCell ref="A36:C36"/>
    <mergeCell ref="A38:B38"/>
    <mergeCell ref="A7:G7"/>
    <mergeCell ref="A9:G9"/>
    <mergeCell ref="A10:G10"/>
    <mergeCell ref="E17:F17"/>
    <mergeCell ref="E12:G12"/>
    <mergeCell ref="E14:F14"/>
    <mergeCell ref="A33:G33"/>
    <mergeCell ref="A12:C12"/>
    <mergeCell ref="A17:B17"/>
    <mergeCell ref="A13:B13"/>
    <mergeCell ref="A14:B14"/>
    <mergeCell ref="A15:B15"/>
    <mergeCell ref="A16:B16"/>
    <mergeCell ref="E18:F18"/>
    <mergeCell ref="E21:G21"/>
    <mergeCell ref="E58:F58"/>
    <mergeCell ref="E59:F59"/>
    <mergeCell ref="A23:C23"/>
    <mergeCell ref="A40:B40"/>
    <mergeCell ref="D48:D49"/>
    <mergeCell ref="E48:E49"/>
    <mergeCell ref="A32:G32"/>
    <mergeCell ref="A44:B44"/>
    <mergeCell ref="A41:B41"/>
    <mergeCell ref="A37:B37"/>
    <mergeCell ref="K65:M65"/>
    <mergeCell ref="V84:W85"/>
    <mergeCell ref="A65:G65"/>
    <mergeCell ref="A66:G66"/>
    <mergeCell ref="U84:U85"/>
  </mergeCells>
  <printOptions/>
  <pageMargins left="0.7874015748031497" right="0.7874015748031497" top="0.35433070866141736" bottom="0.35433070866141736" header="0" footer="0"/>
  <pageSetup fitToWidth="6" horizontalDpi="600" verticalDpi="600" orientation="landscape" paperSize="9" scale="72" r:id="rId4"/>
  <rowBreaks count="8" manualBreakCount="8">
    <brk id="30" max="6" man="1"/>
    <brk id="63" max="6" man="1"/>
    <brk id="94" max="6" man="1"/>
    <brk id="119" max="6" man="1"/>
    <brk id="142" max="6" man="1"/>
    <brk id="225" max="6" man="1"/>
    <brk id="249" max="6" man="1"/>
    <brk id="276" max="255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/>
  <dimension ref="A1:Q251"/>
  <sheetViews>
    <sheetView workbookViewId="0" topLeftCell="A131">
      <selection activeCell="A164" sqref="A164"/>
    </sheetView>
  </sheetViews>
  <sheetFormatPr defaultColWidth="11.421875" defaultRowHeight="12.75"/>
  <cols>
    <col min="1" max="1" width="11.421875" style="222" customWidth="1"/>
    <col min="2" max="2" width="19.140625" style="222" customWidth="1"/>
    <col min="3" max="3" width="18.7109375" style="222" customWidth="1"/>
    <col min="4" max="4" width="19.7109375" style="222" customWidth="1"/>
    <col min="5" max="5" width="17.28125" style="222" customWidth="1"/>
    <col min="6" max="6" width="18.140625" style="222" customWidth="1"/>
    <col min="7" max="7" width="20.7109375" style="222" customWidth="1"/>
    <col min="8" max="8" width="5.140625" style="222" customWidth="1"/>
    <col min="9" max="9" width="5.28125" style="222" customWidth="1"/>
    <col min="10" max="11" width="11.421875" style="222" customWidth="1"/>
    <col min="12" max="12" width="18.57421875" style="222" bestFit="1" customWidth="1"/>
    <col min="13" max="13" width="10.140625" style="222" bestFit="1" customWidth="1"/>
    <col min="14" max="14" width="3.8515625" style="222" bestFit="1" customWidth="1"/>
    <col min="15" max="15" width="10.00390625" style="222" bestFit="1" customWidth="1"/>
    <col min="16" max="16" width="3.00390625" style="222" bestFit="1" customWidth="1"/>
    <col min="17" max="17" width="4.00390625" style="222" bestFit="1" customWidth="1"/>
    <col min="18" max="16384" width="11.421875" style="222" customWidth="1"/>
  </cols>
  <sheetData>
    <row r="1" spans="6:17" s="53" customFormat="1" ht="15">
      <c r="F1"/>
      <c r="G1"/>
      <c r="H1"/>
      <c r="I1"/>
      <c r="J1"/>
      <c r="K1"/>
      <c r="M1" s="222"/>
      <c r="N1" s="222"/>
      <c r="O1" s="222"/>
      <c r="P1" s="222"/>
      <c r="Q1" s="222"/>
    </row>
    <row r="2" spans="6:17" s="53" customFormat="1" ht="15">
      <c r="F2"/>
      <c r="G2"/>
      <c r="H2"/>
      <c r="I2"/>
      <c r="J2"/>
      <c r="K2"/>
      <c r="M2" s="222"/>
      <c r="N2" s="222"/>
      <c r="O2" s="222"/>
      <c r="P2" s="222"/>
      <c r="Q2" s="222"/>
    </row>
    <row r="3" spans="6:17" s="53" customFormat="1" ht="15">
      <c r="F3"/>
      <c r="G3"/>
      <c r="H3"/>
      <c r="I3"/>
      <c r="J3"/>
      <c r="K3"/>
      <c r="M3" s="430" t="s">
        <v>749</v>
      </c>
      <c r="N3" s="431">
        <v>1</v>
      </c>
      <c r="O3" s="431" t="s">
        <v>761</v>
      </c>
      <c r="P3" s="431">
        <v>1</v>
      </c>
      <c r="Q3" s="436" t="s">
        <v>774</v>
      </c>
    </row>
    <row r="4" spans="6:17" s="53" customFormat="1" ht="15">
      <c r="F4"/>
      <c r="G4"/>
      <c r="H4"/>
      <c r="I4"/>
      <c r="J4"/>
      <c r="K4"/>
      <c r="M4" s="432" t="s">
        <v>750</v>
      </c>
      <c r="N4" s="303">
        <v>2</v>
      </c>
      <c r="O4" s="303" t="s">
        <v>762</v>
      </c>
      <c r="P4" s="303">
        <f>1+P3</f>
        <v>2</v>
      </c>
      <c r="Q4" s="437" t="s">
        <v>776</v>
      </c>
    </row>
    <row r="5" spans="6:17" s="53" customFormat="1" ht="15">
      <c r="F5"/>
      <c r="G5"/>
      <c r="H5"/>
      <c r="I5"/>
      <c r="J5"/>
      <c r="K5"/>
      <c r="M5" s="432" t="s">
        <v>751</v>
      </c>
      <c r="N5" s="303">
        <v>3</v>
      </c>
      <c r="O5" s="303" t="s">
        <v>763</v>
      </c>
      <c r="P5" s="303">
        <f aca="true" t="shared" si="0" ref="P5:P36">1+P4</f>
        <v>3</v>
      </c>
      <c r="Q5" s="437" t="s">
        <v>775</v>
      </c>
    </row>
    <row r="6" spans="3:17" s="53" customFormat="1" ht="15.75">
      <c r="C6" s="280"/>
      <c r="F6"/>
      <c r="G6"/>
      <c r="H6"/>
      <c r="I6"/>
      <c r="J6"/>
      <c r="K6"/>
      <c r="M6" s="433" t="s">
        <v>752</v>
      </c>
      <c r="N6" s="303">
        <v>4</v>
      </c>
      <c r="O6" s="303" t="s">
        <v>764</v>
      </c>
      <c r="P6" s="303">
        <f t="shared" si="0"/>
        <v>4</v>
      </c>
      <c r="Q6" s="437" t="s">
        <v>775</v>
      </c>
    </row>
    <row r="7" spans="1:17" s="53" customFormat="1" ht="18">
      <c r="A7" s="1083" t="str">
        <f>Español!A7</f>
        <v>EMPRESAS BANESTO 1 FONDO DE TITULIZACIÓN DE ACTIVOS</v>
      </c>
      <c r="B7" s="1083"/>
      <c r="C7" s="1083"/>
      <c r="D7" s="1083"/>
      <c r="E7" s="1083"/>
      <c r="F7" s="1083"/>
      <c r="G7" s="1083"/>
      <c r="M7" s="432" t="s">
        <v>753</v>
      </c>
      <c r="N7" s="303">
        <v>5</v>
      </c>
      <c r="O7" s="303" t="s">
        <v>765</v>
      </c>
      <c r="P7" s="303">
        <f t="shared" si="0"/>
        <v>5</v>
      </c>
      <c r="Q7" s="437" t="s">
        <v>775</v>
      </c>
    </row>
    <row r="8" spans="1:17" s="53" customFormat="1" ht="18.75" thickBot="1">
      <c r="A8" s="475"/>
      <c r="B8" s="475"/>
      <c r="C8" s="475"/>
      <c r="D8" s="475"/>
      <c r="E8" s="475"/>
      <c r="F8" s="475"/>
      <c r="G8" s="475"/>
      <c r="M8" s="432" t="s">
        <v>754</v>
      </c>
      <c r="N8" s="303">
        <v>6</v>
      </c>
      <c r="O8" s="303" t="s">
        <v>766</v>
      </c>
      <c r="P8" s="303">
        <f t="shared" si="0"/>
        <v>6</v>
      </c>
      <c r="Q8" s="437" t="s">
        <v>775</v>
      </c>
    </row>
    <row r="9" spans="1:17" s="53" customFormat="1" ht="18.75" thickBot="1">
      <c r="A9" s="1060" t="s">
        <v>789</v>
      </c>
      <c r="B9" s="1061"/>
      <c r="C9" s="1061"/>
      <c r="D9" s="1061"/>
      <c r="E9" s="1061"/>
      <c r="F9" s="1061"/>
      <c r="G9" s="1062"/>
      <c r="M9" s="433" t="s">
        <v>755</v>
      </c>
      <c r="N9" s="303">
        <v>7</v>
      </c>
      <c r="O9" s="303" t="s">
        <v>767</v>
      </c>
      <c r="P9" s="303">
        <f t="shared" si="0"/>
        <v>7</v>
      </c>
      <c r="Q9" s="437" t="s">
        <v>775</v>
      </c>
    </row>
    <row r="10" spans="1:17" s="53" customFormat="1" ht="18">
      <c r="A10" s="1063" t="str">
        <f>VLOOKUP(MONTH(Español!A10),Inglés!$N$3:$O$14,2,FALSE)&amp;"  "&amp;DAY(Español!A10)&amp;VLOOKUP(DAY(Español!A10),Inglés!$P$3:$Q$37,2,FALSE)&amp;", "&amp;YEAR(Español!A10)</f>
        <v>June  21th, 2010</v>
      </c>
      <c r="B10" s="1063">
        <f>Español!B10</f>
        <v>0</v>
      </c>
      <c r="C10" s="1063">
        <f>Español!C10</f>
        <v>0</v>
      </c>
      <c r="D10" s="1063">
        <f>Español!D10</f>
        <v>0</v>
      </c>
      <c r="E10" s="1063">
        <f>Español!E10</f>
        <v>0</v>
      </c>
      <c r="F10" s="1063">
        <f>Español!F10</f>
        <v>0</v>
      </c>
      <c r="G10" s="1063">
        <f>Español!G10</f>
        <v>0</v>
      </c>
      <c r="M10" s="432" t="s">
        <v>756</v>
      </c>
      <c r="N10" s="303">
        <v>8</v>
      </c>
      <c r="O10" s="303" t="s">
        <v>768</v>
      </c>
      <c r="P10" s="303">
        <f t="shared" si="0"/>
        <v>8</v>
      </c>
      <c r="Q10" s="437" t="s">
        <v>775</v>
      </c>
    </row>
    <row r="11" spans="9:17" ht="15.75" thickBot="1">
      <c r="I11" s="53"/>
      <c r="M11" s="432" t="s">
        <v>757</v>
      </c>
      <c r="N11" s="303">
        <v>9</v>
      </c>
      <c r="O11" s="303" t="s">
        <v>769</v>
      </c>
      <c r="P11" s="303">
        <f t="shared" si="0"/>
        <v>9</v>
      </c>
      <c r="Q11" s="437" t="s">
        <v>775</v>
      </c>
    </row>
    <row r="12" spans="1:17" ht="16.5" thickBot="1" thickTop="1">
      <c r="A12" s="1068" t="s">
        <v>782</v>
      </c>
      <c r="B12" s="1069"/>
      <c r="C12" s="1070"/>
      <c r="E12" s="1068" t="s">
        <v>783</v>
      </c>
      <c r="F12" s="1069"/>
      <c r="G12" s="1070"/>
      <c r="I12" s="53"/>
      <c r="M12" s="433" t="s">
        <v>758</v>
      </c>
      <c r="N12" s="303">
        <v>10</v>
      </c>
      <c r="O12" s="303" t="s">
        <v>770</v>
      </c>
      <c r="P12" s="303">
        <f t="shared" si="0"/>
        <v>10</v>
      </c>
      <c r="Q12" s="437" t="s">
        <v>775</v>
      </c>
    </row>
    <row r="13" spans="1:17" ht="15.75" thickTop="1">
      <c r="A13" s="1170" t="s">
        <v>777</v>
      </c>
      <c r="B13" s="1171"/>
      <c r="C13" s="281">
        <f>Español!C13</f>
        <v>553337840</v>
      </c>
      <c r="E13" s="1172" t="s">
        <v>784</v>
      </c>
      <c r="F13" s="1173"/>
      <c r="G13" s="284" t="str">
        <f>VLOOKUP(MONTH(Español!G13),Inglés!$N$3:$O$14,2,FALSE)&amp;"  "&amp;DAY(Español!G13)&amp;VLOOKUP(DAY(Español!G13),Inglés!$P$3:$Q$37,2,FALSE)&amp;", "&amp;YEAR(Español!G13)</f>
        <v>June  14th, 2010</v>
      </c>
      <c r="I13" s="53"/>
      <c r="M13" s="432" t="s">
        <v>759</v>
      </c>
      <c r="N13" s="303">
        <v>11</v>
      </c>
      <c r="O13" s="303" t="s">
        <v>771</v>
      </c>
      <c r="P13" s="303">
        <f t="shared" si="0"/>
        <v>11</v>
      </c>
      <c r="Q13" s="437" t="s">
        <v>775</v>
      </c>
    </row>
    <row r="14" spans="1:17" ht="15">
      <c r="A14" s="1170" t="s">
        <v>778</v>
      </c>
      <c r="B14" s="1171"/>
      <c r="C14" s="287">
        <f>Español!C14</f>
        <v>0</v>
      </c>
      <c r="E14" s="1152" t="s">
        <v>785</v>
      </c>
      <c r="F14" s="1153"/>
      <c r="G14" s="288" t="str">
        <f>VLOOKUP(MONTH(Español!G14),Inglés!$N$3:$O$14,2,FALSE)&amp;"  "&amp;DAY(Español!G14)&amp;VLOOKUP(DAY(Español!G14),Inglés!$P$3:$Q$37,2,FALSE)&amp;", "&amp;YEAR(Español!G14)</f>
        <v>June  21th, 2010</v>
      </c>
      <c r="I14" s="53"/>
      <c r="M14" s="434" t="s">
        <v>760</v>
      </c>
      <c r="N14" s="435">
        <v>12</v>
      </c>
      <c r="O14" s="435" t="s">
        <v>773</v>
      </c>
      <c r="P14" s="303">
        <f t="shared" si="0"/>
        <v>12</v>
      </c>
      <c r="Q14" s="437" t="s">
        <v>775</v>
      </c>
    </row>
    <row r="15" spans="1:17" ht="15">
      <c r="A15" s="1170" t="s">
        <v>779</v>
      </c>
      <c r="B15" s="1171"/>
      <c r="C15" s="287">
        <f>Español!C15</f>
        <v>553337840</v>
      </c>
      <c r="E15" s="1152" t="s">
        <v>786</v>
      </c>
      <c r="F15" s="1174"/>
      <c r="G15" s="351" t="str">
        <f>VLOOKUP(MONTH(Español!G15),Inglés!$N$3:$O$14,2,FALSE)&amp;"  "&amp;DAY(Español!G15)&amp;VLOOKUP(DAY(Español!G15),Inglés!$P$3:$Q$37,2,FALSE)&amp;", "&amp;YEAR(Español!G15)</f>
        <v>March  22th, 2010</v>
      </c>
      <c r="I15" s="53"/>
      <c r="P15" s="432">
        <f t="shared" si="0"/>
        <v>13</v>
      </c>
      <c r="Q15" s="437" t="s">
        <v>775</v>
      </c>
    </row>
    <row r="16" spans="1:17" ht="15">
      <c r="A16" s="1170" t="s">
        <v>780</v>
      </c>
      <c r="B16" s="1171"/>
      <c r="C16" s="291">
        <f>Español!C16</f>
        <v>0.27666892</v>
      </c>
      <c r="E16" s="1084" t="s">
        <v>353</v>
      </c>
      <c r="F16" s="1085"/>
      <c r="G16" s="292">
        <f>Español!G16</f>
        <v>91</v>
      </c>
      <c r="I16" s="53"/>
      <c r="P16" s="432">
        <f t="shared" si="0"/>
        <v>14</v>
      </c>
      <c r="Q16" s="437" t="s">
        <v>775</v>
      </c>
    </row>
    <row r="17" spans="1:17" ht="15.75" thickBot="1">
      <c r="A17" s="1168" t="s">
        <v>781</v>
      </c>
      <c r="B17" s="1169"/>
      <c r="C17" s="295">
        <f>Español!C17</f>
        <v>0</v>
      </c>
      <c r="E17" s="296" t="s">
        <v>787</v>
      </c>
      <c r="F17" s="426"/>
      <c r="G17" s="297">
        <f>Español!G17</f>
        <v>0.00729</v>
      </c>
      <c r="I17" s="53"/>
      <c r="P17" s="432">
        <f t="shared" si="0"/>
        <v>15</v>
      </c>
      <c r="Q17" s="437" t="s">
        <v>775</v>
      </c>
    </row>
    <row r="18" spans="5:17" ht="16.5" thickBot="1" thickTop="1">
      <c r="E18" s="1154" t="s">
        <v>788</v>
      </c>
      <c r="F18" s="1155"/>
      <c r="G18" s="298" t="str">
        <f>VLOOKUP(MONTH(Español!G18),Inglés!$N$3:$O$14,2,FALSE)&amp;"  "&amp;DAY(Español!G18)&amp;VLOOKUP(DAY(Español!G18),Inglés!$P$3:$Q$37,2,FALSE)&amp;", "&amp;YEAR(Español!G18)</f>
        <v>September  20th, 2010</v>
      </c>
      <c r="I18" s="53"/>
      <c r="P18" s="432">
        <f t="shared" si="0"/>
        <v>16</v>
      </c>
      <c r="Q18" s="437" t="s">
        <v>775</v>
      </c>
    </row>
    <row r="19" spans="9:17" ht="15.75" thickTop="1">
      <c r="I19" s="53"/>
      <c r="P19" s="432">
        <f t="shared" si="0"/>
        <v>17</v>
      </c>
      <c r="Q19" s="437" t="s">
        <v>775</v>
      </c>
    </row>
    <row r="20" spans="16:17" ht="13.5" thickBot="1">
      <c r="P20" s="432">
        <f>1+P19</f>
        <v>18</v>
      </c>
      <c r="Q20" s="437" t="s">
        <v>775</v>
      </c>
    </row>
    <row r="21" spans="1:17" ht="14.25" thickBot="1" thickTop="1">
      <c r="A21" s="1068" t="s">
        <v>1040</v>
      </c>
      <c r="B21" s="1069"/>
      <c r="C21" s="1070"/>
      <c r="E21" s="1068" t="s">
        <v>790</v>
      </c>
      <c r="F21" s="1069"/>
      <c r="G21" s="1070"/>
      <c r="P21" s="432">
        <f t="shared" si="0"/>
        <v>19</v>
      </c>
      <c r="Q21" s="437" t="s">
        <v>775</v>
      </c>
    </row>
    <row r="22" spans="1:17" ht="13.5" thickTop="1">
      <c r="A22" s="1175" t="s">
        <v>1042</v>
      </c>
      <c r="B22" s="1176"/>
      <c r="C22" s="1178">
        <v>120563723</v>
      </c>
      <c r="E22" s="366"/>
      <c r="F22" s="367" t="s">
        <v>791</v>
      </c>
      <c r="G22" s="375" t="s">
        <v>792</v>
      </c>
      <c r="P22" s="432">
        <f t="shared" si="0"/>
        <v>20</v>
      </c>
      <c r="Q22" s="437" t="s">
        <v>775</v>
      </c>
    </row>
    <row r="23" spans="1:17" ht="25.5">
      <c r="A23" s="1177"/>
      <c r="B23" s="967"/>
      <c r="C23" s="1179"/>
      <c r="E23" s="368"/>
      <c r="F23" s="369" t="str">
        <f>VLOOKUP(MONTH(Español!F23),Inglés!$N$3:$O$14,2,FALSE)&amp;"  "&amp;DAY(Español!F23)&amp;VLOOKUP(DAY(Español!F23),Inglés!$P$3:$Q$37,2,FALSE)&amp;", "&amp;YEAR(Español!F23)</f>
        <v>October  9th, 2007</v>
      </c>
      <c r="G23" s="376" t="str">
        <f>VLOOKUP(MONTH(Español!G23),Inglés!$N$3:$O$14,2,FALSE)&amp;"  "&amp;DAY(Español!G23)&amp;VLOOKUP(DAY(Español!G23),Inglés!$P$3:$Q$37,2,FALSE)&amp;", "&amp;YEAR(Español!G23)</f>
        <v>June  21th, 2010</v>
      </c>
      <c r="P23" s="432">
        <f t="shared" si="0"/>
        <v>21</v>
      </c>
      <c r="Q23" s="437" t="s">
        <v>775</v>
      </c>
    </row>
    <row r="24" spans="1:17" ht="12.75">
      <c r="A24" s="1170" t="str">
        <f>"Interest paid "&amp;A10</f>
        <v>Interest paid June  21th, 2010</v>
      </c>
      <c r="B24" s="1171"/>
      <c r="C24" s="468">
        <f>SUM(Español!C24:C28)</f>
        <v>1610601.5</v>
      </c>
      <c r="E24" s="370"/>
      <c r="F24" s="427">
        <v>0.05</v>
      </c>
      <c r="G24" s="428">
        <f>Español!G24</f>
        <v>0.14204134574807892</v>
      </c>
      <c r="P24" s="432">
        <f t="shared" si="0"/>
        <v>22</v>
      </c>
      <c r="Q24" s="437" t="s">
        <v>775</v>
      </c>
    </row>
    <row r="25" spans="1:17" ht="12.75">
      <c r="A25" s="1182" t="s">
        <v>1043</v>
      </c>
      <c r="B25" s="973"/>
      <c r="C25" s="1185">
        <f>C22+C24</f>
        <v>122174324.5</v>
      </c>
      <c r="E25" s="370" t="s">
        <v>793</v>
      </c>
      <c r="F25" s="372">
        <f>Español!F25</f>
        <v>1.02</v>
      </c>
      <c r="G25" s="378" t="str">
        <f>Español!G25</f>
        <v>--</v>
      </c>
      <c r="P25" s="432">
        <f t="shared" si="0"/>
        <v>23</v>
      </c>
      <c r="Q25" s="437" t="s">
        <v>775</v>
      </c>
    </row>
    <row r="26" spans="1:17" ht="13.5" thickBot="1">
      <c r="A26" s="1183"/>
      <c r="B26" s="1184"/>
      <c r="C26" s="1186"/>
      <c r="E26" s="319" t="s">
        <v>794</v>
      </c>
      <c r="F26" s="372">
        <f>Español!F26</f>
        <v>3.9</v>
      </c>
      <c r="G26" s="378">
        <f>Español!G26</f>
        <v>1.1806288242602778</v>
      </c>
      <c r="P26" s="432">
        <f t="shared" si="0"/>
        <v>24</v>
      </c>
      <c r="Q26" s="437" t="s">
        <v>775</v>
      </c>
    </row>
    <row r="27" spans="1:17" ht="13.5" thickTop="1">
      <c r="A27"/>
      <c r="B27"/>
      <c r="C27"/>
      <c r="E27" s="319" t="s">
        <v>795</v>
      </c>
      <c r="F27" s="372">
        <f>Español!F27</f>
        <v>4.03</v>
      </c>
      <c r="G27" s="378">
        <f>Español!G27</f>
        <v>2.1317510616951116</v>
      </c>
      <c r="P27" s="432">
        <f t="shared" si="0"/>
        <v>25</v>
      </c>
      <c r="Q27" s="437" t="s">
        <v>775</v>
      </c>
    </row>
    <row r="28" spans="1:17" ht="14.25">
      <c r="A28"/>
      <c r="B28"/>
      <c r="C28"/>
      <c r="D28" s="39"/>
      <c r="E28" s="319" t="s">
        <v>796</v>
      </c>
      <c r="F28" s="372">
        <f>Español!F28</f>
        <v>4.03</v>
      </c>
      <c r="G28" s="378">
        <f>Español!G28</f>
        <v>2.1317510616951116</v>
      </c>
      <c r="P28" s="432">
        <f t="shared" si="0"/>
        <v>26</v>
      </c>
      <c r="Q28" s="437" t="s">
        <v>775</v>
      </c>
    </row>
    <row r="29" spans="1:17" ht="15" thickBot="1">
      <c r="A29"/>
      <c r="B29"/>
      <c r="C29"/>
      <c r="D29" s="39"/>
      <c r="E29" s="373" t="s">
        <v>802</v>
      </c>
      <c r="F29" s="374">
        <f>Español!F29</f>
        <v>4.03</v>
      </c>
      <c r="G29" s="379">
        <f>Español!G29</f>
        <v>2.1317510616951116</v>
      </c>
      <c r="P29" s="432">
        <f t="shared" si="0"/>
        <v>27</v>
      </c>
      <c r="Q29" s="437" t="s">
        <v>775</v>
      </c>
    </row>
    <row r="30" spans="4:17" ht="15" thickTop="1">
      <c r="D30" s="39"/>
      <c r="E30" s="303"/>
      <c r="F30" s="304"/>
      <c r="G30" s="304"/>
      <c r="P30" s="432">
        <f t="shared" si="0"/>
        <v>28</v>
      </c>
      <c r="Q30" s="437" t="s">
        <v>775</v>
      </c>
    </row>
    <row r="31" spans="4:17" ht="15" thickBot="1">
      <c r="D31" s="39"/>
      <c r="E31" s="303"/>
      <c r="F31" s="304"/>
      <c r="G31" s="304"/>
      <c r="P31" s="432"/>
      <c r="Q31" s="437"/>
    </row>
    <row r="32" spans="1:17" ht="18.75" thickBot="1">
      <c r="A32" s="1060" t="s">
        <v>1048</v>
      </c>
      <c r="B32" s="1061"/>
      <c r="C32" s="1061"/>
      <c r="D32" s="1061"/>
      <c r="E32" s="1061"/>
      <c r="F32" s="1061"/>
      <c r="G32" s="1062"/>
      <c r="P32" s="432"/>
      <c r="Q32" s="437"/>
    </row>
    <row r="33" spans="1:17" ht="18">
      <c r="A33" s="1063" t="str">
        <f>+$A$10</f>
        <v>June  21th, 2010</v>
      </c>
      <c r="B33" s="1063">
        <f>Español!B33</f>
        <v>0</v>
      </c>
      <c r="C33" s="1063">
        <f>Español!C33</f>
        <v>0</v>
      </c>
      <c r="D33" s="1063">
        <f>Español!D33</f>
        <v>0</v>
      </c>
      <c r="E33" s="1063">
        <f>Español!E33</f>
        <v>0</v>
      </c>
      <c r="F33" s="1063">
        <f>Español!F33</f>
        <v>0</v>
      </c>
      <c r="G33" s="1063">
        <f>Español!G33</f>
        <v>0</v>
      </c>
      <c r="P33" s="432"/>
      <c r="Q33" s="437"/>
    </row>
    <row r="34" spans="4:17" ht="14.25">
      <c r="D34" s="39"/>
      <c r="E34" s="303"/>
      <c r="F34" s="304"/>
      <c r="G34" s="304"/>
      <c r="P34" s="432"/>
      <c r="Q34" s="437"/>
    </row>
    <row r="35" spans="2:17" ht="15.75" thickBot="1">
      <c r="B35" s="305"/>
      <c r="C35" s="306"/>
      <c r="D35" s="39"/>
      <c r="P35" s="432">
        <f>1+P30</f>
        <v>29</v>
      </c>
      <c r="Q35" s="437" t="s">
        <v>775</v>
      </c>
    </row>
    <row r="36" spans="1:17" ht="15.75" thickBot="1" thickTop="1">
      <c r="A36" s="1068" t="s">
        <v>1038</v>
      </c>
      <c r="B36" s="1069"/>
      <c r="C36" s="1070"/>
      <c r="D36" s="39"/>
      <c r="E36" s="1068" t="s">
        <v>1039</v>
      </c>
      <c r="F36" s="1069"/>
      <c r="G36" s="1070"/>
      <c r="P36" s="432">
        <f t="shared" si="0"/>
        <v>30</v>
      </c>
      <c r="Q36" s="437" t="s">
        <v>775</v>
      </c>
    </row>
    <row r="37" spans="1:17" ht="15" thickTop="1">
      <c r="A37" s="1079" t="str">
        <f>+A13</f>
        <v>Previous Balance</v>
      </c>
      <c r="B37" s="1080"/>
      <c r="C37" s="281">
        <f>Español!C37</f>
        <v>634407457.0699999</v>
      </c>
      <c r="D37" s="39"/>
      <c r="E37" s="1166" t="s">
        <v>303</v>
      </c>
      <c r="F37" s="1167"/>
      <c r="G37" s="281">
        <f>Español!G37</f>
        <v>3660741.58</v>
      </c>
      <c r="P37" s="434">
        <f>1+P36</f>
        <v>31</v>
      </c>
      <c r="Q37" s="438" t="s">
        <v>774</v>
      </c>
    </row>
    <row r="38" spans="1:7" ht="15" thickBot="1">
      <c r="A38" s="1077" t="str">
        <f>+A14</f>
        <v>Principal Amortised</v>
      </c>
      <c r="B38" s="1078"/>
      <c r="C38" s="287">
        <f>Español!C38</f>
        <v>81069582.32000005</v>
      </c>
      <c r="D38" s="39"/>
      <c r="E38" s="1168" t="s">
        <v>304</v>
      </c>
      <c r="F38" s="1169"/>
      <c r="G38" s="324">
        <f>Español!G38</f>
        <v>1223995.3</v>
      </c>
    </row>
    <row r="39" spans="1:3" ht="13.5" thickTop="1">
      <c r="A39" s="1077" t="str">
        <f>+A15</f>
        <v>Outstanding Balance</v>
      </c>
      <c r="B39" s="1078"/>
      <c r="C39" s="302">
        <f>Español!C39</f>
        <v>553337874.7499999</v>
      </c>
    </row>
    <row r="40" spans="1:3" ht="12.75">
      <c r="A40" s="1071" t="s">
        <v>305</v>
      </c>
      <c r="B40" s="1072"/>
      <c r="C40" s="307">
        <f>Español!C40</f>
        <v>5216</v>
      </c>
    </row>
    <row r="41" spans="1:13" ht="12.75">
      <c r="A41" s="1077" t="s">
        <v>639</v>
      </c>
      <c r="B41" s="1078"/>
      <c r="C41" s="302">
        <f>Español!C43</f>
        <v>182112027.68</v>
      </c>
      <c r="K41"/>
      <c r="L41"/>
      <c r="M41"/>
    </row>
    <row r="42" spans="1:13" ht="13.5" thickBot="1">
      <c r="A42" s="1075" t="s">
        <v>454</v>
      </c>
      <c r="B42" s="1076"/>
      <c r="C42" s="308">
        <f>Español!C44</f>
        <v>0.4939</v>
      </c>
      <c r="K42"/>
      <c r="L42"/>
      <c r="M42"/>
    </row>
    <row r="43" spans="11:13" ht="14.25" thickBot="1" thickTop="1">
      <c r="K43"/>
      <c r="L43"/>
      <c r="M43"/>
    </row>
    <row r="44" spans="1:13" ht="14.25" thickBot="1" thickTop="1">
      <c r="A44" s="1068" t="s">
        <v>1037</v>
      </c>
      <c r="B44" s="1069"/>
      <c r="C44" s="1069"/>
      <c r="D44" s="1069"/>
      <c r="E44" s="1069"/>
      <c r="F44" s="1069"/>
      <c r="G44" s="1070"/>
      <c r="K44"/>
      <c r="L44"/>
      <c r="M44"/>
    </row>
    <row r="45" spans="1:13" ht="13.5" thickTop="1">
      <c r="A45" s="1073" t="s">
        <v>1044</v>
      </c>
      <c r="B45" s="1073"/>
      <c r="C45" s="1073" t="s">
        <v>294</v>
      </c>
      <c r="D45" s="1073" t="s">
        <v>295</v>
      </c>
      <c r="E45" s="1073" t="s">
        <v>296</v>
      </c>
      <c r="F45" s="1073" t="s">
        <v>297</v>
      </c>
      <c r="G45" s="1073" t="s">
        <v>772</v>
      </c>
      <c r="K45"/>
      <c r="L45"/>
      <c r="M45"/>
    </row>
    <row r="46" spans="1:13" ht="13.5" thickBot="1">
      <c r="A46" s="1074"/>
      <c r="B46" s="1074"/>
      <c r="C46" s="1074"/>
      <c r="D46" s="1074"/>
      <c r="E46" s="1074"/>
      <c r="F46" s="1074"/>
      <c r="G46" s="1074"/>
      <c r="K46"/>
      <c r="L46"/>
      <c r="M46"/>
    </row>
    <row r="47" spans="1:13" ht="13.5" thickTop="1">
      <c r="A47" s="1180" t="s">
        <v>298</v>
      </c>
      <c r="B47" s="1181"/>
      <c r="C47" s="309">
        <f>Español!C50</f>
        <v>875478.86</v>
      </c>
      <c r="D47" s="310">
        <f>Español!D50</f>
        <v>497911.7</v>
      </c>
      <c r="E47" s="310">
        <f>Español!E50</f>
        <v>374885.31</v>
      </c>
      <c r="F47" s="310">
        <f>Español!F50</f>
        <v>1053849.17</v>
      </c>
      <c r="G47" s="311">
        <f>Español!G50</f>
        <v>1324375.9</v>
      </c>
      <c r="K47"/>
      <c r="L47"/>
      <c r="M47"/>
    </row>
    <row r="48" spans="1:13" ht="12.75">
      <c r="A48" s="1162" t="s">
        <v>1045</v>
      </c>
      <c r="B48" s="1163"/>
      <c r="C48" s="309">
        <f>Español!C51</f>
        <v>58422.15</v>
      </c>
      <c r="D48" s="310">
        <f>Español!D51</f>
        <v>34679.04</v>
      </c>
      <c r="E48" s="310">
        <f>Español!E51</f>
        <v>21957.31</v>
      </c>
      <c r="F48" s="310">
        <f>Español!F51</f>
        <v>44621.99</v>
      </c>
      <c r="G48" s="311">
        <f>Español!G51</f>
        <v>77637.16</v>
      </c>
      <c r="K48"/>
      <c r="L48"/>
      <c r="M48"/>
    </row>
    <row r="49" spans="1:13" ht="12.75">
      <c r="A49" s="1162" t="str">
        <f>+A39</f>
        <v>Outstanding Balance</v>
      </c>
      <c r="B49" s="1163"/>
      <c r="C49" s="309">
        <f>Español!C52</f>
        <v>12909714.66</v>
      </c>
      <c r="D49" s="310">
        <f>Español!D52</f>
        <v>7967736.33</v>
      </c>
      <c r="E49" s="310">
        <f>Español!E52</f>
        <v>5838740.92</v>
      </c>
      <c r="F49" s="310">
        <f>Español!F52</f>
        <v>3986609.85</v>
      </c>
      <c r="G49" s="311">
        <f>Español!G52</f>
        <v>4386333.039999999</v>
      </c>
      <c r="K49"/>
      <c r="L49"/>
      <c r="M49"/>
    </row>
    <row r="50" spans="1:13" ht="12.75">
      <c r="A50" s="1162" t="s">
        <v>299</v>
      </c>
      <c r="B50" s="1163"/>
      <c r="C50" s="312">
        <f>Español!C53</f>
        <v>156</v>
      </c>
      <c r="D50" s="312">
        <f>Español!D53</f>
        <v>89</v>
      </c>
      <c r="E50" s="312">
        <f>Español!E53</f>
        <v>52</v>
      </c>
      <c r="F50" s="312">
        <f>Español!F53</f>
        <v>57</v>
      </c>
      <c r="G50" s="313">
        <f>Español!G53</f>
        <v>80</v>
      </c>
      <c r="K50"/>
      <c r="L50"/>
      <c r="M50"/>
    </row>
    <row r="51" spans="1:13" ht="13.5" thickBot="1">
      <c r="A51" s="1154" t="s">
        <v>300</v>
      </c>
      <c r="B51" s="1164"/>
      <c r="C51" s="314">
        <f>Español!C54</f>
        <v>0.023330618143268537</v>
      </c>
      <c r="D51" s="314">
        <f>Español!D54</f>
        <v>0.014399405306567624</v>
      </c>
      <c r="E51" s="314">
        <f>Español!E54</f>
        <v>0.010551854818609633</v>
      </c>
      <c r="F51" s="314">
        <f>Español!F54</f>
        <v>0.00720465746502743</v>
      </c>
      <c r="G51" s="315">
        <f>Español!G54</f>
        <v>0.007927042843365387</v>
      </c>
      <c r="K51"/>
      <c r="L51"/>
      <c r="M51"/>
    </row>
    <row r="52" spans="11:13" ht="14.25" thickBot="1" thickTop="1">
      <c r="K52"/>
      <c r="L52"/>
      <c r="M52"/>
    </row>
    <row r="53" spans="1:13" ht="16.5" thickBot="1" thickTop="1">
      <c r="A53" s="1187" t="s">
        <v>1065</v>
      </c>
      <c r="B53" s="1188"/>
      <c r="C53" s="1189"/>
      <c r="F53" s="524" t="s">
        <v>527</v>
      </c>
      <c r="G53" s="525">
        <f>Español!G45</f>
        <v>1236252.0499999998</v>
      </c>
      <c r="K53"/>
      <c r="L53"/>
      <c r="M53"/>
    </row>
    <row r="54" spans="1:13" ht="13.5" thickTop="1">
      <c r="A54" s="575" t="str">
        <f>"1.-  Balance at "&amp;VLOOKUP(MONTH(Español!J13),Inglés!$N$3:$O$14,2,FALSE)&amp;"  "&amp;DAY(Español!J13)&amp;VLOOKUP(DAY(Español!J13),Inglés!$P$3:$Q$37,2,FALSE)&amp;", "&amp;YEAR(Español!J13)</f>
        <v>1.-  Balance at March  12th, 2010</v>
      </c>
      <c r="B54" s="576"/>
      <c r="C54" s="577">
        <f>Español!C57</f>
        <v>12126265.77</v>
      </c>
      <c r="G54" s="542"/>
      <c r="K54"/>
      <c r="L54"/>
      <c r="M54"/>
    </row>
    <row r="55" spans="1:13" ht="12.75">
      <c r="A55" s="578" t="s">
        <v>799</v>
      </c>
      <c r="B55" s="579"/>
      <c r="C55" s="580">
        <f>Español!C58</f>
        <v>1286118.9100000001</v>
      </c>
      <c r="G55" s="542"/>
      <c r="K55"/>
      <c r="L55"/>
      <c r="M55"/>
    </row>
    <row r="56" spans="1:13" ht="13.5" thickBot="1">
      <c r="A56" s="581" t="str">
        <f>"3.-  Balance at "&amp;VLOOKUP(MONTH(Español!G13),Inglés!$N$3:$O$14,2,FALSE)&amp;"  "&amp;DAY(Español!G13)&amp;VLOOKUP(DAY(Español!G13),Inglés!$P$3:$Q$37,2,FALSE)&amp;", "&amp;YEAR(Español!G13)</f>
        <v>3.-  Balance at June  14th, 2010</v>
      </c>
      <c r="B56" s="582"/>
      <c r="C56" s="583">
        <f>Español!C59</f>
        <v>13412384.68</v>
      </c>
      <c r="G56" s="542"/>
      <c r="K56"/>
      <c r="L56"/>
      <c r="M56"/>
    </row>
    <row r="57" spans="1:13" ht="14.25" thickBot="1" thickTop="1">
      <c r="A57" s="544"/>
      <c r="B57" s="545"/>
      <c r="C57" s="546"/>
      <c r="G57" s="542"/>
      <c r="K57"/>
      <c r="L57"/>
      <c r="M57"/>
    </row>
    <row r="58" spans="1:13" ht="14.25" thickBot="1" thickTop="1">
      <c r="A58" s="1068" t="s">
        <v>800</v>
      </c>
      <c r="B58" s="1069"/>
      <c r="C58" s="541" t="s">
        <v>801</v>
      </c>
      <c r="G58" s="542"/>
      <c r="K58"/>
      <c r="L58"/>
      <c r="M58"/>
    </row>
    <row r="59" spans="1:13" ht="13.5" thickTop="1">
      <c r="A59" s="584" t="str">
        <f>A54</f>
        <v>1.-  Balance at March  12th, 2010</v>
      </c>
      <c r="B59" s="585"/>
      <c r="C59" s="586">
        <f>Español!G57</f>
        <v>985297.78</v>
      </c>
      <c r="G59" s="542"/>
      <c r="K59"/>
      <c r="L59"/>
      <c r="M59"/>
    </row>
    <row r="60" spans="1:13" ht="12.75">
      <c r="A60" s="587" t="str">
        <f>A55</f>
        <v>2.-  Difference in Actual Period</v>
      </c>
      <c r="B60" s="588"/>
      <c r="C60" s="589">
        <f>Español!G58</f>
        <v>1039109.97</v>
      </c>
      <c r="G60" s="542"/>
      <c r="K60"/>
      <c r="L60"/>
      <c r="M60"/>
    </row>
    <row r="61" spans="1:13" ht="13.5" thickBot="1">
      <c r="A61" s="590" t="str">
        <f>A56</f>
        <v>3.-  Balance at June  14th, 2010</v>
      </c>
      <c r="B61" s="591"/>
      <c r="C61" s="592">
        <f>Español!G59</f>
        <v>2024407.75</v>
      </c>
      <c r="G61" s="542"/>
      <c r="K61"/>
      <c r="L61"/>
      <c r="M61"/>
    </row>
    <row r="62" spans="1:13" ht="13.5" thickTop="1">
      <c r="A62" s="526" t="s">
        <v>528</v>
      </c>
      <c r="G62" s="542"/>
      <c r="K62"/>
      <c r="L62"/>
      <c r="M62"/>
    </row>
    <row r="63" spans="7:13" ht="12.75">
      <c r="G63" s="542"/>
      <c r="K63"/>
      <c r="L63"/>
      <c r="M63"/>
    </row>
    <row r="64" spans="7:13" ht="13.5" thickBot="1">
      <c r="G64" s="542"/>
      <c r="K64"/>
      <c r="L64"/>
      <c r="M64"/>
    </row>
    <row r="65" spans="1:13" ht="18" thickBot="1">
      <c r="A65" s="1060" t="s">
        <v>1455</v>
      </c>
      <c r="B65" s="1061"/>
      <c r="C65" s="1061"/>
      <c r="D65" s="1061"/>
      <c r="E65" s="1061"/>
      <c r="F65" s="1061"/>
      <c r="G65" s="1062"/>
      <c r="K65"/>
      <c r="L65"/>
      <c r="M65"/>
    </row>
    <row r="66" spans="1:13" ht="17.25">
      <c r="A66" s="1063" t="str">
        <f>+A33</f>
        <v>June  21th, 2010</v>
      </c>
      <c r="B66" s="1151"/>
      <c r="C66" s="1151"/>
      <c r="D66" s="1151"/>
      <c r="E66" s="1151"/>
      <c r="F66" s="1151"/>
      <c r="G66" s="1151"/>
      <c r="K66"/>
      <c r="L66"/>
      <c r="M66"/>
    </row>
    <row r="67" spans="7:13" ht="13.5" thickBot="1">
      <c r="G67" s="542"/>
      <c r="K67"/>
      <c r="L67"/>
      <c r="M67"/>
    </row>
    <row r="68" spans="1:13" ht="14.25" thickBot="1" thickTop="1">
      <c r="A68" s="566" t="s">
        <v>1456</v>
      </c>
      <c r="B68" s="567" t="str">
        <f>LEFT(VLOOKUP(MONTH(Español!B68),$N$3:$O$14,2,FALSE),3)&amp;", "&amp;YEAR(Español!B68)</f>
        <v>Jun, 2009</v>
      </c>
      <c r="C68" s="567" t="str">
        <f>LEFT(VLOOKUP(MONTH(Español!C68),$N$3:$O$14,2,FALSE),3)&amp;", "&amp;YEAR(Español!C68)</f>
        <v>Sep, 2009</v>
      </c>
      <c r="D68" s="567" t="str">
        <f>LEFT(VLOOKUP(MONTH(Español!D68),$N$3:$O$14,2,FALSE),3)&amp;", "&amp;YEAR(Español!D68)</f>
        <v>Dec, 2009</v>
      </c>
      <c r="E68" s="567" t="str">
        <f>LEFT(VLOOKUP(MONTH(Español!E68),$N$3:$O$14,2,FALSE),3)&amp;", "&amp;YEAR(Español!E68)</f>
        <v>Mar, 2010</v>
      </c>
      <c r="F68" s="567" t="str">
        <f>LEFT(VLOOKUP(MONTH(Español!F68),$N$3:$O$14,2,FALSE),3)&amp;", "&amp;YEAR(Español!F68)</f>
        <v>Jun, 2010</v>
      </c>
      <c r="G68" s="542"/>
      <c r="K68"/>
      <c r="L68"/>
      <c r="M68"/>
    </row>
    <row r="69" spans="1:13" ht="13.5" thickTop="1">
      <c r="A69" s="317" t="s">
        <v>1457</v>
      </c>
      <c r="B69" s="568">
        <f>Español!B69</f>
        <v>0.038213255448461166</v>
      </c>
      <c r="C69" s="568">
        <f>Español!C69</f>
        <v>0.05584724126823427</v>
      </c>
      <c r="D69" s="568">
        <f>Español!D69</f>
        <v>0.024881321466683863</v>
      </c>
      <c r="E69" s="568">
        <f>Español!E69</f>
        <v>0.03950944680846389</v>
      </c>
      <c r="F69" s="569">
        <f>Español!F69</f>
        <v>0.023330618143268537</v>
      </c>
      <c r="G69" s="542"/>
      <c r="K69"/>
      <c r="L69"/>
      <c r="M69"/>
    </row>
    <row r="70" spans="1:13" ht="12.75">
      <c r="A70" s="318" t="s">
        <v>1458</v>
      </c>
      <c r="B70" s="570">
        <f>Español!B70</f>
        <v>0.019789031568924417</v>
      </c>
      <c r="C70" s="570">
        <f>Español!C70</f>
        <v>0.01407532035096588</v>
      </c>
      <c r="D70" s="570">
        <f>Español!D70</f>
        <v>0.020456849922766564</v>
      </c>
      <c r="E70" s="570">
        <f>Español!E70</f>
        <v>0.02113812810765926</v>
      </c>
      <c r="F70" s="571">
        <f>Español!F70</f>
        <v>0.014399405306567624</v>
      </c>
      <c r="G70" s="542"/>
      <c r="K70"/>
      <c r="L70"/>
      <c r="M70"/>
    </row>
    <row r="71" spans="1:13" ht="12.75">
      <c r="A71" s="318" t="s">
        <v>1459</v>
      </c>
      <c r="B71" s="570">
        <f>Español!B71</f>
        <v>0.016280242604953435</v>
      </c>
      <c r="C71" s="570">
        <f>Español!C71</f>
        <v>0.015657440056754162</v>
      </c>
      <c r="D71" s="570">
        <f>Español!D71</f>
        <v>0.011552199282841532</v>
      </c>
      <c r="E71" s="570">
        <f>Español!E71</f>
        <v>0.009096028279130518</v>
      </c>
      <c r="F71" s="571">
        <f>Español!F71</f>
        <v>0.010551854818609633</v>
      </c>
      <c r="G71" s="542"/>
      <c r="K71"/>
      <c r="L71"/>
      <c r="M71"/>
    </row>
    <row r="72" spans="1:13" ht="12.75">
      <c r="A72" s="318" t="s">
        <v>1460</v>
      </c>
      <c r="B72" s="570">
        <f>Español!B72</f>
        <v>0.03253380622519643</v>
      </c>
      <c r="C72" s="570">
        <f>Español!C72</f>
        <v>0.007663458477610923</v>
      </c>
      <c r="D72" s="570">
        <f>Español!D72</f>
        <v>0.010022232642039983</v>
      </c>
      <c r="E72" s="570">
        <f>Español!E72</f>
        <v>0.008302456491173981</v>
      </c>
      <c r="F72" s="571">
        <f>Español!F72</f>
        <v>0.00720465746502743</v>
      </c>
      <c r="G72" s="542"/>
      <c r="K72"/>
      <c r="L72"/>
      <c r="M72"/>
    </row>
    <row r="73" spans="1:13" ht="13.5" thickBot="1">
      <c r="A73" s="572" t="s">
        <v>1461</v>
      </c>
      <c r="B73" s="573">
        <f>Español!B73</f>
        <v>0.007097317421912066</v>
      </c>
      <c r="C73" s="573">
        <f>Español!C73</f>
        <v>0.02085395298993955</v>
      </c>
      <c r="D73" s="573">
        <f>Español!D73</f>
        <v>0.02289284972164154</v>
      </c>
      <c r="E73" s="573">
        <f>Español!E73</f>
        <v>0.007003598697468887</v>
      </c>
      <c r="F73" s="574">
        <f>Español!F73</f>
        <v>0.007927042843365387</v>
      </c>
      <c r="G73" s="542"/>
      <c r="K73"/>
      <c r="L73"/>
      <c r="M73"/>
    </row>
    <row r="74" spans="7:13" ht="13.5" thickTop="1">
      <c r="G74" s="542"/>
      <c r="K74"/>
      <c r="L74"/>
      <c r="M74"/>
    </row>
    <row r="75" spans="7:13" ht="12.75">
      <c r="G75" s="542"/>
      <c r="K75"/>
      <c r="L75"/>
      <c r="M75"/>
    </row>
    <row r="76" spans="7:13" ht="12.75">
      <c r="G76" s="542"/>
      <c r="K76"/>
      <c r="L76"/>
      <c r="M76"/>
    </row>
    <row r="77" spans="7:13" ht="12.75">
      <c r="G77" s="542"/>
      <c r="K77"/>
      <c r="L77"/>
      <c r="M77"/>
    </row>
    <row r="78" spans="7:13" ht="12.75">
      <c r="G78" s="542"/>
      <c r="K78"/>
      <c r="L78"/>
      <c r="M78"/>
    </row>
    <row r="79" spans="7:13" ht="12.75">
      <c r="G79" s="542"/>
      <c r="K79"/>
      <c r="L79"/>
      <c r="M79"/>
    </row>
    <row r="80" spans="7:13" ht="12.75">
      <c r="G80" s="542"/>
      <c r="K80"/>
      <c r="L80"/>
      <c r="M80"/>
    </row>
    <row r="81" spans="7:13" ht="12.75">
      <c r="G81" s="542"/>
      <c r="K81"/>
      <c r="L81"/>
      <c r="M81"/>
    </row>
    <row r="82" spans="7:13" ht="12.75">
      <c r="G82" s="542"/>
      <c r="K82"/>
      <c r="L82"/>
      <c r="M82"/>
    </row>
    <row r="83" spans="7:13" ht="12.75">
      <c r="G83" s="542"/>
      <c r="K83"/>
      <c r="L83"/>
      <c r="M83"/>
    </row>
    <row r="84" spans="7:13" ht="12.75">
      <c r="G84" s="542"/>
      <c r="K84"/>
      <c r="L84"/>
      <c r="M84"/>
    </row>
    <row r="85" spans="7:13" ht="12.75">
      <c r="G85" s="542"/>
      <c r="K85"/>
      <c r="L85"/>
      <c r="M85"/>
    </row>
    <row r="86" spans="7:13" ht="12.75">
      <c r="G86" s="542"/>
      <c r="K86"/>
      <c r="L86"/>
      <c r="M86"/>
    </row>
    <row r="87" spans="7:13" ht="12.75">
      <c r="G87" s="542"/>
      <c r="K87"/>
      <c r="L87"/>
      <c r="M87"/>
    </row>
    <row r="88" spans="7:13" ht="12.75">
      <c r="G88" s="542"/>
      <c r="K88"/>
      <c r="L88"/>
      <c r="M88"/>
    </row>
    <row r="89" spans="7:13" ht="12.75">
      <c r="G89" s="542"/>
      <c r="K89"/>
      <c r="L89"/>
      <c r="M89"/>
    </row>
    <row r="90" spans="7:13" ht="12.75">
      <c r="G90" s="542"/>
      <c r="K90"/>
      <c r="L90"/>
      <c r="M90"/>
    </row>
    <row r="91" spans="7:13" ht="12.75">
      <c r="G91" s="542"/>
      <c r="K91"/>
      <c r="L91"/>
      <c r="M91"/>
    </row>
    <row r="92" spans="7:13" ht="12.75">
      <c r="G92" s="542"/>
      <c r="K92"/>
      <c r="L92"/>
      <c r="M92"/>
    </row>
    <row r="93" spans="7:13" ht="12.75">
      <c r="G93" s="542"/>
      <c r="K93"/>
      <c r="L93"/>
      <c r="M93"/>
    </row>
    <row r="94" spans="7:13" ht="12.75">
      <c r="G94" s="542"/>
      <c r="K94"/>
      <c r="L94"/>
      <c r="M94"/>
    </row>
    <row r="95" spans="7:13" ht="12.75">
      <c r="G95" s="542"/>
      <c r="K95"/>
      <c r="L95"/>
      <c r="M95"/>
    </row>
    <row r="96" spans="11:13" ht="13.5" thickBot="1">
      <c r="K96"/>
      <c r="L96"/>
      <c r="M96"/>
    </row>
    <row r="97" spans="1:13" ht="18" thickBot="1">
      <c r="A97" s="1060" t="s">
        <v>1049</v>
      </c>
      <c r="B97" s="1061"/>
      <c r="C97" s="1061"/>
      <c r="D97" s="1061"/>
      <c r="E97" s="1061"/>
      <c r="F97" s="1061"/>
      <c r="G97" s="1062"/>
      <c r="K97"/>
      <c r="L97"/>
      <c r="M97"/>
    </row>
    <row r="98" spans="1:13" ht="17.25">
      <c r="A98" s="1063" t="str">
        <f>+$A$10</f>
        <v>June  21th, 2010</v>
      </c>
      <c r="B98" s="1063">
        <f>Español!B97</f>
        <v>0</v>
      </c>
      <c r="C98" s="1063">
        <f>Español!C97</f>
        <v>0</v>
      </c>
      <c r="D98" s="1063">
        <f>Español!D97</f>
        <v>0</v>
      </c>
      <c r="E98" s="1063">
        <f>Español!E97</f>
        <v>0</v>
      </c>
      <c r="F98" s="1063">
        <f>Español!F97</f>
        <v>0</v>
      </c>
      <c r="G98" s="1063">
        <f>Español!G97</f>
        <v>0</v>
      </c>
      <c r="K98"/>
      <c r="L98"/>
      <c r="M98"/>
    </row>
    <row r="99" spans="2:13" ht="12.75">
      <c r="B99" s="410"/>
      <c r="C99" s="316"/>
      <c r="D99" s="316"/>
      <c r="F99" s="316"/>
      <c r="G99" s="316"/>
      <c r="K99"/>
      <c r="L99"/>
      <c r="M99"/>
    </row>
    <row r="100" spans="2:13" ht="13.5" thickBot="1">
      <c r="B100" s="411"/>
      <c r="C100" s="316"/>
      <c r="D100" s="316"/>
      <c r="G100" s="316"/>
      <c r="K100"/>
      <c r="L100"/>
      <c r="M100"/>
    </row>
    <row r="101" spans="1:13" ht="13.5" thickTop="1">
      <c r="A101" s="1096" t="s">
        <v>306</v>
      </c>
      <c r="B101" s="1098"/>
      <c r="C101" s="1139">
        <f>Español!C100</f>
        <v>71934552.92000002</v>
      </c>
      <c r="E101" s="1145" t="s">
        <v>307</v>
      </c>
      <c r="F101" s="1146"/>
      <c r="G101" s="1139">
        <f>Español!G100</f>
        <v>8964872.4122959</v>
      </c>
      <c r="K101"/>
      <c r="L101"/>
      <c r="M101"/>
    </row>
    <row r="102" spans="1:13" ht="13.5" thickBot="1">
      <c r="A102" s="1141"/>
      <c r="B102" s="1165"/>
      <c r="C102" s="1140"/>
      <c r="E102" s="1147"/>
      <c r="F102" s="1148"/>
      <c r="G102" s="1140"/>
      <c r="K102"/>
      <c r="L102"/>
      <c r="M102"/>
    </row>
    <row r="103" spans="1:13" ht="13.5" thickTop="1">
      <c r="A103" s="317" t="s">
        <v>313</v>
      </c>
      <c r="B103" s="283"/>
      <c r="C103" s="598"/>
      <c r="E103" s="708" t="s">
        <v>1030</v>
      </c>
      <c r="F103" s="401"/>
      <c r="G103" s="719">
        <f>Español!G102</f>
        <v>0</v>
      </c>
      <c r="K103"/>
      <c r="L103"/>
      <c r="M103"/>
    </row>
    <row r="104" spans="1:7" ht="12.75">
      <c r="A104" s="289" t="s">
        <v>308</v>
      </c>
      <c r="B104" s="290"/>
      <c r="C104" s="599">
        <f>Español!C103</f>
        <v>68369457.25000001</v>
      </c>
      <c r="E104" s="289" t="s">
        <v>1031</v>
      </c>
      <c r="F104" s="290"/>
      <c r="G104" s="719">
        <f>Español!G103</f>
        <v>27591.09229589041</v>
      </c>
    </row>
    <row r="105" spans="1:7" ht="12.75">
      <c r="A105" s="597" t="s">
        <v>1468</v>
      </c>
      <c r="B105" s="402"/>
      <c r="C105" s="601">
        <f>Español!C104</f>
        <v>880016.01</v>
      </c>
      <c r="E105" s="1084" t="s">
        <v>1258</v>
      </c>
      <c r="F105" s="1085"/>
      <c r="G105" s="715">
        <f>Español!G104</f>
        <v>1942697.55</v>
      </c>
    </row>
    <row r="106" spans="1:7" ht="12.75">
      <c r="A106" s="318" t="s">
        <v>1472</v>
      </c>
      <c r="B106" s="290"/>
      <c r="C106" s="599">
        <f>Español!C105</f>
        <v>0</v>
      </c>
      <c r="E106" s="289" t="s">
        <v>732</v>
      </c>
      <c r="F106" s="290"/>
      <c r="G106" s="715">
        <f>Español!G105</f>
        <v>1117280</v>
      </c>
    </row>
    <row r="107" spans="1:7" ht="12.75">
      <c r="A107" s="429" t="s">
        <v>310</v>
      </c>
      <c r="B107" s="290"/>
      <c r="C107" s="599">
        <f>Español!C106</f>
        <v>3660741.58</v>
      </c>
      <c r="E107" s="289" t="s">
        <v>733</v>
      </c>
      <c r="F107" s="290"/>
      <c r="G107" s="715">
        <f>Español!G106</f>
        <v>175882</v>
      </c>
    </row>
    <row r="108" spans="1:7" ht="12.75">
      <c r="A108" s="429" t="s">
        <v>309</v>
      </c>
      <c r="B108" s="320"/>
      <c r="C108" s="600">
        <f>Español!C107</f>
        <v>126962.27</v>
      </c>
      <c r="E108" s="289" t="s">
        <v>734</v>
      </c>
      <c r="F108" s="290"/>
      <c r="G108" s="715">
        <f>Español!G107</f>
        <v>127753.5</v>
      </c>
    </row>
    <row r="109" spans="1:7" ht="12.75">
      <c r="A109" s="429" t="s">
        <v>1471</v>
      </c>
      <c r="B109" s="320"/>
      <c r="C109" s="600">
        <f>Español!C108</f>
        <v>-1102611.66</v>
      </c>
      <c r="E109" s="289" t="s">
        <v>735</v>
      </c>
      <c r="F109" s="290"/>
      <c r="G109" s="715">
        <f>Español!G108</f>
        <v>189686</v>
      </c>
    </row>
    <row r="110" spans="1:7" ht="12.75">
      <c r="A110" s="318" t="s">
        <v>1473</v>
      </c>
      <c r="B110" s="320"/>
      <c r="C110" s="600">
        <f>Español!C109</f>
        <v>0</v>
      </c>
      <c r="D110" s="316"/>
      <c r="E110" s="289" t="s">
        <v>736</v>
      </c>
      <c r="F110" s="290"/>
      <c r="G110" s="715">
        <f>Español!G109</f>
        <v>81069680</v>
      </c>
    </row>
    <row r="111" spans="1:7" ht="13.5" thickBot="1">
      <c r="A111" s="322" t="s">
        <v>445</v>
      </c>
      <c r="B111" s="704"/>
      <c r="C111" s="718">
        <f>Español!C110</f>
        <v>-12.53</v>
      </c>
      <c r="E111" s="289" t="s">
        <v>737</v>
      </c>
      <c r="F111" s="290"/>
      <c r="G111" s="715">
        <f>Español!G110</f>
        <v>0</v>
      </c>
    </row>
    <row r="112" spans="5:7" ht="14.25" thickBot="1" thickTop="1">
      <c r="E112" s="289" t="s">
        <v>738</v>
      </c>
      <c r="F112" s="290"/>
      <c r="G112" s="715">
        <f>Español!G111</f>
        <v>0</v>
      </c>
    </row>
    <row r="113" spans="1:7" ht="13.5" customHeight="1" thickTop="1">
      <c r="A113" s="1096" t="s">
        <v>311</v>
      </c>
      <c r="B113" s="1097"/>
      <c r="C113" s="1143">
        <f>+C118+C119</f>
        <v>26608172.97</v>
      </c>
      <c r="E113" s="289" t="s">
        <v>739</v>
      </c>
      <c r="F113" s="290"/>
      <c r="G113" s="715">
        <f>Español!G112</f>
        <v>0</v>
      </c>
    </row>
    <row r="114" spans="1:7" ht="13.5" thickBot="1">
      <c r="A114" s="1141"/>
      <c r="B114" s="1142"/>
      <c r="C114" s="1144"/>
      <c r="E114" s="289" t="s">
        <v>740</v>
      </c>
      <c r="F114" s="290"/>
      <c r="G114" s="715">
        <f>Español!G113</f>
        <v>-73451228.35</v>
      </c>
    </row>
    <row r="115" spans="1:12" ht="14.25" thickBot="1" thickTop="1">
      <c r="A115" s="317" t="s">
        <v>312</v>
      </c>
      <c r="B115" s="283"/>
      <c r="C115" s="281"/>
      <c r="E115" s="703" t="s">
        <v>741</v>
      </c>
      <c r="F115" s="704"/>
      <c r="G115" s="891">
        <f>Español!G114</f>
        <v>-2234469.3800000027</v>
      </c>
      <c r="K115" s="325" t="s">
        <v>860</v>
      </c>
      <c r="L115" s="326" t="s">
        <v>478</v>
      </c>
    </row>
    <row r="116" spans="1:3" ht="13.5" thickTop="1">
      <c r="A116" s="429" t="s">
        <v>314</v>
      </c>
      <c r="B116" s="80"/>
      <c r="C116" s="287">
        <f>Español!C115</f>
        <v>28842642.35</v>
      </c>
    </row>
    <row r="117" spans="1:3" ht="12.75">
      <c r="A117" s="1106" t="s">
        <v>315</v>
      </c>
      <c r="B117" s="1107"/>
      <c r="C117" s="715">
        <f>Español!C116</f>
        <v>2234469.3800000027</v>
      </c>
    </row>
    <row r="118" spans="1:8" ht="12.75">
      <c r="A118" s="1190" t="s">
        <v>316</v>
      </c>
      <c r="B118" s="1191"/>
      <c r="C118" s="287">
        <f>Español!C117</f>
        <v>26608172.97</v>
      </c>
      <c r="E118" s="303"/>
      <c r="F118" s="303"/>
      <c r="G118" s="327"/>
      <c r="H118" s="303"/>
    </row>
    <row r="119" spans="1:8" ht="13.5" thickBot="1">
      <c r="A119" s="1091" t="s">
        <v>317</v>
      </c>
      <c r="B119" s="1092"/>
      <c r="C119" s="324">
        <f>Español!C118</f>
        <v>0</v>
      </c>
      <c r="E119" s="303"/>
      <c r="F119" s="303"/>
      <c r="G119" s="327"/>
      <c r="H119" s="303"/>
    </row>
    <row r="120" spans="1:7" ht="13.5" thickTop="1">
      <c r="A120" s="328"/>
      <c r="B120" s="328"/>
      <c r="C120" s="329"/>
      <c r="E120" s="303"/>
      <c r="F120" s="303"/>
      <c r="G120" s="327"/>
    </row>
    <row r="121" spans="1:7" ht="12.75">
      <c r="A121" s="328"/>
      <c r="B121" s="328"/>
      <c r="C121" s="329"/>
      <c r="D121" s="303"/>
      <c r="E121" s="330"/>
      <c r="F121" s="303"/>
      <c r="G121" s="331"/>
    </row>
    <row r="122" spans="1:7" ht="13.5" thickBot="1">
      <c r="A122" s="328"/>
      <c r="B122" s="328"/>
      <c r="C122" s="329"/>
      <c r="D122" s="332"/>
      <c r="E122" s="330"/>
      <c r="F122" s="303"/>
      <c r="G122" s="331"/>
    </row>
    <row r="123" spans="1:7" ht="18" thickBot="1">
      <c r="A123" s="1060" t="s">
        <v>1052</v>
      </c>
      <c r="B123" s="1061"/>
      <c r="C123" s="1061"/>
      <c r="D123" s="1061"/>
      <c r="E123" s="1061"/>
      <c r="F123" s="1061"/>
      <c r="G123" s="1062"/>
    </row>
    <row r="124" spans="1:7" ht="17.25">
      <c r="A124" s="1063" t="str">
        <f>+$A$10</f>
        <v>June  21th, 2010</v>
      </c>
      <c r="B124" s="1063">
        <f>Español!B123</f>
        <v>0</v>
      </c>
      <c r="C124" s="1063">
        <f>Español!C123</f>
        <v>0</v>
      </c>
      <c r="D124" s="1063">
        <f>Español!D123</f>
        <v>0</v>
      </c>
      <c r="E124" s="1063">
        <f>Español!E123</f>
        <v>0</v>
      </c>
      <c r="F124" s="1063">
        <f>Español!F123</f>
        <v>0</v>
      </c>
      <c r="G124" s="1063">
        <f>Español!G123</f>
        <v>0</v>
      </c>
    </row>
    <row r="125" spans="1:4" ht="12.75">
      <c r="A125" s="328"/>
      <c r="B125" s="328"/>
      <c r="C125" s="329"/>
      <c r="D125" s="61"/>
    </row>
    <row r="126" spans="5:7" ht="12.75">
      <c r="E126" s="303"/>
      <c r="F126" s="303"/>
      <c r="G126" s="327"/>
    </row>
    <row r="128" ht="13.5" thickBot="1"/>
    <row r="129" spans="1:4" ht="14.25" thickBot="1" thickTop="1">
      <c r="A129" s="1093" t="s">
        <v>318</v>
      </c>
      <c r="B129" s="1128"/>
      <c r="C129" s="1128"/>
      <c r="D129" s="1129"/>
    </row>
    <row r="130" spans="1:4" ht="13.5" thickTop="1">
      <c r="A130" s="1088" t="s">
        <v>321</v>
      </c>
      <c r="B130" s="1089"/>
      <c r="C130" s="1105" t="s">
        <v>322</v>
      </c>
      <c r="D130" s="531" t="s">
        <v>1046</v>
      </c>
    </row>
    <row r="131" spans="1:4" ht="12.75">
      <c r="A131" s="1090"/>
      <c r="B131" s="975"/>
      <c r="C131" s="1017"/>
      <c r="D131" s="528" t="str">
        <f>+G14</f>
        <v>June  21th, 2010</v>
      </c>
    </row>
    <row r="132" spans="1:4" ht="12.75">
      <c r="A132" s="1106" t="s">
        <v>319</v>
      </c>
      <c r="B132" s="1107"/>
      <c r="C132" s="334">
        <f>Español!C131</f>
        <v>0.07</v>
      </c>
      <c r="D132" s="529">
        <f>Español!D131</f>
        <v>0.2530099875331136</v>
      </c>
    </row>
    <row r="133" spans="1:4" ht="27" customHeight="1" thickBot="1">
      <c r="A133" s="1160" t="s">
        <v>320</v>
      </c>
      <c r="B133" s="1161"/>
      <c r="C133" s="896" t="str">
        <f>Español!C132</f>
        <v>38.000.000 € (1,90%)</v>
      </c>
      <c r="D133" s="897" t="str">
        <f>Español!D132</f>
        <v>26.608.172,97 € (4,81%)</v>
      </c>
    </row>
    <row r="134" ht="13.5" thickTop="1"/>
    <row r="135" ht="12.75">
      <c r="C135" s="418"/>
    </row>
    <row r="137" ht="13.5" thickBot="1"/>
    <row r="138" spans="1:4" ht="14.25" thickBot="1" thickTop="1">
      <c r="A138" s="1068" t="s">
        <v>323</v>
      </c>
      <c r="B138" s="1069"/>
      <c r="C138" s="1069"/>
      <c r="D138" s="1070"/>
    </row>
    <row r="139" spans="1:4" ht="13.5" thickTop="1">
      <c r="A139" s="1088" t="str">
        <f>+A130</f>
        <v>CONCEPTS</v>
      </c>
      <c r="B139" s="1104"/>
      <c r="C139" s="1105" t="str">
        <f>+C130</f>
        <v>inicial date</v>
      </c>
      <c r="D139" s="335" t="str">
        <f>+D130</f>
        <v>current date</v>
      </c>
    </row>
    <row r="140" spans="1:4" ht="13.5" thickBot="1">
      <c r="A140" s="1090"/>
      <c r="B140" s="974"/>
      <c r="C140" s="1017"/>
      <c r="D140" s="333" t="str">
        <f>+D131</f>
        <v>June  21th, 2010</v>
      </c>
    </row>
    <row r="141" spans="1:12" ht="13.5" thickBot="1">
      <c r="A141" s="1156" t="s">
        <v>324</v>
      </c>
      <c r="B141" s="1157"/>
      <c r="C141" s="336">
        <f>Español!C140</f>
        <v>39950000</v>
      </c>
      <c r="D141" s="337">
        <f>Español!D140</f>
        <v>38508804.74</v>
      </c>
      <c r="K141" s="325" t="s">
        <v>129</v>
      </c>
      <c r="L141" s="326" t="s">
        <v>494</v>
      </c>
    </row>
    <row r="142" spans="1:4" ht="13.5" thickBot="1">
      <c r="A142" s="1158" t="s">
        <v>325</v>
      </c>
      <c r="B142" s="1159"/>
      <c r="C142" s="421">
        <f>Español!C141</f>
        <v>0.056190000000000004</v>
      </c>
      <c r="D142" s="420">
        <f>Español!D141</f>
        <v>0.01729</v>
      </c>
    </row>
    <row r="143" ht="13.5" thickTop="1"/>
    <row r="145" ht="13.5" thickBot="1"/>
    <row r="146" spans="1:7" ht="18" thickBot="1">
      <c r="A146" s="1060" t="s">
        <v>1056</v>
      </c>
      <c r="B146" s="1061"/>
      <c r="C146" s="1061"/>
      <c r="D146" s="1061"/>
      <c r="E146" s="1061"/>
      <c r="F146" s="1061"/>
      <c r="G146" s="1062"/>
    </row>
    <row r="147" spans="1:7" ht="17.25">
      <c r="A147" s="1063" t="str">
        <f>+$A$10</f>
        <v>June  21th, 2010</v>
      </c>
      <c r="B147" s="1063">
        <f>Español!B146</f>
        <v>0</v>
      </c>
      <c r="C147" s="1063">
        <f>Español!C146</f>
        <v>0</v>
      </c>
      <c r="D147" s="1063">
        <f>Español!D146</f>
        <v>0</v>
      </c>
      <c r="E147" s="1063">
        <f>Español!E146</f>
        <v>0</v>
      </c>
      <c r="F147" s="1063">
        <f>Español!F146</f>
        <v>0</v>
      </c>
      <c r="G147" s="1063">
        <f>Español!G146</f>
        <v>0</v>
      </c>
    </row>
    <row r="148" ht="13.5" thickBot="1"/>
    <row r="149" spans="1:7" ht="13.5" customHeight="1" thickTop="1">
      <c r="A149" s="1096" t="s">
        <v>326</v>
      </c>
      <c r="B149" s="1097"/>
      <c r="C149" s="1097"/>
      <c r="D149" s="1097"/>
      <c r="E149" s="1097"/>
      <c r="F149" s="1098"/>
      <c r="G149" s="709"/>
    </row>
    <row r="150" spans="1:7" ht="13.5" customHeight="1" thickBot="1">
      <c r="A150" s="1099"/>
      <c r="B150" s="1100"/>
      <c r="C150" s="1100"/>
      <c r="D150" s="1100"/>
      <c r="E150" s="1100"/>
      <c r="F150" s="1101"/>
      <c r="G150" s="709"/>
    </row>
    <row r="151" spans="1:7" ht="12.75">
      <c r="A151" s="710" t="s">
        <v>332</v>
      </c>
      <c r="B151" s="340"/>
      <c r="C151" s="340"/>
      <c r="D151" s="340"/>
      <c r="E151" s="340"/>
      <c r="F151" s="711">
        <f>Español!F150</f>
        <v>38000000</v>
      </c>
      <c r="G151" s="303"/>
    </row>
    <row r="152" spans="1:7" ht="12.75">
      <c r="A152" s="712" t="s">
        <v>327</v>
      </c>
      <c r="B152" s="303"/>
      <c r="C152" s="303"/>
      <c r="D152" s="303"/>
      <c r="E152" s="303"/>
      <c r="F152" s="713"/>
      <c r="G152" s="303"/>
    </row>
    <row r="153" spans="1:7" ht="12.75">
      <c r="A153" s="712" t="s">
        <v>328</v>
      </c>
      <c r="B153" s="303"/>
      <c r="C153" s="303"/>
      <c r="D153" s="303"/>
      <c r="E153" s="303"/>
      <c r="F153" s="713">
        <f>Español!F152</f>
        <v>38000000</v>
      </c>
      <c r="G153" s="303"/>
    </row>
    <row r="154" spans="1:7" ht="12.75">
      <c r="A154" s="712" t="s">
        <v>329</v>
      </c>
      <c r="B154" s="303"/>
      <c r="C154" s="303"/>
      <c r="D154" s="303"/>
      <c r="E154" s="303"/>
      <c r="F154" s="713"/>
      <c r="G154" s="303"/>
    </row>
    <row r="155" spans="1:7" ht="12.75">
      <c r="A155" s="712" t="s">
        <v>331</v>
      </c>
      <c r="B155" s="303"/>
      <c r="C155" s="303"/>
      <c r="D155" s="303"/>
      <c r="E155" s="303"/>
      <c r="F155" s="713">
        <f>Español!F154</f>
        <v>21026837.919999998</v>
      </c>
      <c r="G155" s="303"/>
    </row>
    <row r="156" spans="1:7" ht="13.5" thickBot="1">
      <c r="A156" s="712" t="s">
        <v>330</v>
      </c>
      <c r="B156" s="303"/>
      <c r="C156" s="303"/>
      <c r="D156" s="303"/>
      <c r="E156" s="303"/>
      <c r="F156" s="713">
        <f>Español!F155</f>
        <v>20000000</v>
      </c>
      <c r="G156" s="303"/>
    </row>
    <row r="157" spans="1:6" ht="12.75">
      <c r="A157" s="710" t="s">
        <v>333</v>
      </c>
      <c r="B157" s="340"/>
      <c r="C157" s="340"/>
      <c r="D157" s="340"/>
      <c r="E157" s="340"/>
      <c r="F157" s="603"/>
    </row>
    <row r="158" spans="1:6" ht="12.75">
      <c r="A158" s="712" t="s">
        <v>335</v>
      </c>
      <c r="B158" s="303"/>
      <c r="C158" s="303"/>
      <c r="D158" s="303"/>
      <c r="E158" s="303"/>
      <c r="F158" s="610" t="str">
        <f>Español!F157</f>
        <v>SÍ</v>
      </c>
    </row>
    <row r="159" spans="1:6" ht="12.75">
      <c r="A159" s="712" t="s">
        <v>334</v>
      </c>
      <c r="B159" s="303"/>
      <c r="C159" s="303"/>
      <c r="D159" s="303"/>
      <c r="E159" s="303"/>
      <c r="F159" s="610" t="str">
        <f>Español!F158</f>
        <v>SÍ</v>
      </c>
    </row>
    <row r="160" spans="1:6" ht="13.5" thickBot="1">
      <c r="A160" s="611" t="s">
        <v>1147</v>
      </c>
      <c r="B160" s="612"/>
      <c r="C160" s="612"/>
      <c r="D160" s="612"/>
      <c r="E160" s="612"/>
      <c r="F160" s="613" t="str">
        <f>Español!F159</f>
        <v>NO</v>
      </c>
    </row>
    <row r="161" ht="3.75" customHeight="1" thickTop="1">
      <c r="A161" s="330"/>
    </row>
    <row r="162" ht="15">
      <c r="A162" s="347"/>
    </row>
    <row r="163" ht="12.75">
      <c r="A163" s="348" t="s">
        <v>68</v>
      </c>
    </row>
    <row r="164" ht="13.5" thickBot="1">
      <c r="A164" s="348" t="s">
        <v>1296</v>
      </c>
    </row>
    <row r="165" spans="1:6" ht="13.5" customHeight="1" thickTop="1">
      <c r="A165" s="1096" t="s">
        <v>336</v>
      </c>
      <c r="B165" s="1097"/>
      <c r="C165" s="1097"/>
      <c r="D165" s="1097"/>
      <c r="E165" s="1097"/>
      <c r="F165" s="1098"/>
    </row>
    <row r="166" spans="1:6" ht="13.5" thickBot="1">
      <c r="A166" s="1099"/>
      <c r="B166" s="1100"/>
      <c r="C166" s="1100"/>
      <c r="D166" s="1100"/>
      <c r="E166" s="1100"/>
      <c r="F166" s="1101"/>
    </row>
    <row r="167" spans="1:6" ht="12.75">
      <c r="A167" s="602" t="s">
        <v>337</v>
      </c>
      <c r="B167" s="340"/>
      <c r="C167" s="340"/>
      <c r="D167" s="340"/>
      <c r="E167" s="340"/>
      <c r="F167" s="603"/>
    </row>
    <row r="168" spans="1:6" ht="12.75">
      <c r="A168" s="596" t="s">
        <v>338</v>
      </c>
      <c r="B168" s="303"/>
      <c r="C168" s="303"/>
      <c r="D168" s="303"/>
      <c r="E168" s="303"/>
      <c r="F168" s="595">
        <f>IF(F171/F172&lt;1,F171/F172,"")</f>
      </c>
    </row>
    <row r="169" spans="1:6" ht="12.75">
      <c r="A169" s="604" t="s">
        <v>339</v>
      </c>
      <c r="B169" s="303"/>
      <c r="C169" s="303"/>
      <c r="D169" s="303"/>
      <c r="E169" s="303"/>
      <c r="F169" s="605">
        <f>Español!F170</f>
        <v>1.2405442156502795</v>
      </c>
    </row>
    <row r="170" spans="1:6" ht="4.5" customHeight="1" thickBot="1">
      <c r="A170" s="604"/>
      <c r="B170" s="303"/>
      <c r="C170" s="303"/>
      <c r="D170" s="303"/>
      <c r="E170" s="303"/>
      <c r="F170" s="605"/>
    </row>
    <row r="171" spans="1:12" ht="13.5" thickBot="1">
      <c r="A171" s="604" t="s">
        <v>340</v>
      </c>
      <c r="B171" s="303"/>
      <c r="C171" s="303"/>
      <c r="D171" s="303"/>
      <c r="E171" s="303"/>
      <c r="F171" s="606">
        <f>Español!F172</f>
        <v>613334389.1099999</v>
      </c>
      <c r="K171" s="325" t="s">
        <v>101</v>
      </c>
      <c r="L171" s="326" t="s">
        <v>494</v>
      </c>
    </row>
    <row r="172" spans="1:12" ht="13.5" thickBot="1">
      <c r="A172" s="607" t="s">
        <v>354</v>
      </c>
      <c r="B172" s="344"/>
      <c r="C172" s="344"/>
      <c r="D172" s="344"/>
      <c r="E172" s="344"/>
      <c r="F172" s="608">
        <f>Español!F173</f>
        <v>494407520</v>
      </c>
      <c r="K172" s="325" t="s">
        <v>103</v>
      </c>
      <c r="L172" s="326" t="s">
        <v>494</v>
      </c>
    </row>
    <row r="173" spans="1:6" ht="12.75">
      <c r="A173" s="602" t="s">
        <v>341</v>
      </c>
      <c r="B173" s="340"/>
      <c r="C173" s="340"/>
      <c r="D173" s="340"/>
      <c r="E173" s="340"/>
      <c r="F173" s="603"/>
    </row>
    <row r="174" spans="1:6" ht="12.75">
      <c r="A174" s="604" t="s">
        <v>342</v>
      </c>
      <c r="B174" s="303"/>
      <c r="C174" s="303"/>
      <c r="D174" s="303"/>
      <c r="E174" s="303"/>
      <c r="F174" s="609">
        <f>Español!F175</f>
        <v>0.1265049937665568</v>
      </c>
    </row>
    <row r="175" spans="1:6" ht="12.75">
      <c r="A175" s="604" t="s">
        <v>343</v>
      </c>
      <c r="B175" s="303"/>
      <c r="C175" s="303"/>
      <c r="D175" s="303"/>
      <c r="E175" s="303"/>
      <c r="F175" s="610" t="str">
        <f>IF(Español!F176="SÍ","YES","NO")</f>
        <v>NO</v>
      </c>
    </row>
    <row r="176" spans="1:6" ht="12.75">
      <c r="A176" s="604" t="s">
        <v>1427</v>
      </c>
      <c r="B176" s="303"/>
      <c r="C176" s="303"/>
      <c r="D176" s="303"/>
      <c r="E176" s="303"/>
      <c r="F176" s="614">
        <f>Español!F177</f>
        <v>8376304.24</v>
      </c>
    </row>
    <row r="177" spans="1:6" ht="13.5" thickBot="1">
      <c r="A177" s="604" t="s">
        <v>1428</v>
      </c>
      <c r="B177" s="303"/>
      <c r="C177" s="303"/>
      <c r="D177" s="303"/>
      <c r="E177" s="303"/>
      <c r="F177" s="614">
        <f>Español!F178</f>
        <v>6916723.434374999</v>
      </c>
    </row>
    <row r="178" spans="1:6" ht="12.75">
      <c r="A178" s="602" t="s">
        <v>344</v>
      </c>
      <c r="B178" s="340"/>
      <c r="C178" s="340"/>
      <c r="D178" s="340"/>
      <c r="E178" s="340"/>
      <c r="F178" s="603"/>
    </row>
    <row r="179" spans="1:6" ht="12.75">
      <c r="A179" s="604" t="s">
        <v>345</v>
      </c>
      <c r="B179" s="303"/>
      <c r="C179" s="303"/>
      <c r="D179" s="303"/>
      <c r="E179" s="303"/>
      <c r="F179" s="609">
        <f>Español!F180</f>
        <v>0.0632524968832784</v>
      </c>
    </row>
    <row r="180" spans="1:6" ht="12.75">
      <c r="A180" s="604" t="s">
        <v>346</v>
      </c>
      <c r="B180" s="303"/>
      <c r="C180" s="303"/>
      <c r="D180" s="303"/>
      <c r="E180" s="303"/>
      <c r="F180" s="610" t="str">
        <f>IF(Español!F181="SÍ","YES","NO")</f>
        <v>NO</v>
      </c>
    </row>
    <row r="181" spans="1:6" ht="12.75">
      <c r="A181" s="604" t="s">
        <v>1429</v>
      </c>
      <c r="B181" s="303"/>
      <c r="C181" s="303"/>
      <c r="D181" s="303"/>
      <c r="E181" s="303"/>
      <c r="F181" s="614">
        <f>Español!F182</f>
        <v>8376304.24</v>
      </c>
    </row>
    <row r="182" spans="1:6" ht="13.5" thickBot="1">
      <c r="A182" s="604" t="s">
        <v>1430</v>
      </c>
      <c r="B182" s="303"/>
      <c r="C182" s="303"/>
      <c r="D182" s="303"/>
      <c r="E182" s="303"/>
      <c r="F182" s="614">
        <f>Español!F183</f>
        <v>5533378.747499999</v>
      </c>
    </row>
    <row r="183" spans="1:6" ht="12.75">
      <c r="A183" s="602" t="s">
        <v>349</v>
      </c>
      <c r="B183" s="340"/>
      <c r="C183" s="340"/>
      <c r="D183" s="340"/>
      <c r="E183" s="340"/>
      <c r="F183" s="603"/>
    </row>
    <row r="184" spans="1:6" ht="12.75">
      <c r="A184" s="604" t="s">
        <v>126</v>
      </c>
      <c r="B184" s="303"/>
      <c r="C184" s="303"/>
      <c r="D184" s="303"/>
      <c r="E184" s="303"/>
      <c r="F184" s="609">
        <f>Español!F185</f>
        <v>0.0632524968832784</v>
      </c>
    </row>
    <row r="185" spans="1:6" ht="12.75">
      <c r="A185" s="604" t="s">
        <v>348</v>
      </c>
      <c r="B185" s="303"/>
      <c r="C185" s="303"/>
      <c r="D185" s="303"/>
      <c r="E185" s="303"/>
      <c r="F185" s="610" t="str">
        <f>IF(Español!F186="SÍ","YES","NO")</f>
        <v>NO</v>
      </c>
    </row>
    <row r="186" spans="1:6" ht="12.75">
      <c r="A186" s="604" t="s">
        <v>1431</v>
      </c>
      <c r="B186" s="303"/>
      <c r="C186" s="303"/>
      <c r="D186" s="303"/>
      <c r="E186" s="303"/>
      <c r="F186" s="614">
        <f>Español!F187</f>
        <v>8376304.24</v>
      </c>
    </row>
    <row r="187" spans="1:6" ht="13.5" thickBot="1">
      <c r="A187" s="604" t="s">
        <v>1432</v>
      </c>
      <c r="B187" s="303"/>
      <c r="C187" s="303"/>
      <c r="D187" s="303"/>
      <c r="E187" s="303"/>
      <c r="F187" s="614">
        <f>Español!F188</f>
        <v>4150034.060624999</v>
      </c>
    </row>
    <row r="188" spans="1:6" ht="12.75">
      <c r="A188" s="602" t="s">
        <v>350</v>
      </c>
      <c r="B188" s="340"/>
      <c r="C188" s="340"/>
      <c r="D188" s="340"/>
      <c r="E188" s="340"/>
      <c r="F188" s="603"/>
    </row>
    <row r="189" spans="1:6" ht="12.75">
      <c r="A189" s="604" t="s">
        <v>351</v>
      </c>
      <c r="B189" s="303"/>
      <c r="C189" s="303"/>
      <c r="D189" s="303"/>
      <c r="E189" s="303"/>
      <c r="F189" s="610" t="str">
        <f>IF(Español!F190="SÍ","YES","NO")</f>
        <v>NO</v>
      </c>
    </row>
    <row r="190" spans="1:6" ht="13.5" thickBot="1">
      <c r="A190" s="611" t="s">
        <v>352</v>
      </c>
      <c r="B190" s="612"/>
      <c r="C190" s="612"/>
      <c r="D190" s="612"/>
      <c r="E190" s="612"/>
      <c r="F190" s="613" t="str">
        <f>IF(Español!F191="SÍ","YES","NO")</f>
        <v>NO</v>
      </c>
    </row>
    <row r="191" ht="13.5" thickTop="1"/>
    <row r="192" ht="12.75">
      <c r="A192" s="54" t="s">
        <v>1477</v>
      </c>
    </row>
    <row r="193" ht="12.75">
      <c r="A193" s="54"/>
    </row>
    <row r="194" ht="13.5" thickBot="1"/>
    <row r="195" spans="1:7" ht="18" thickBot="1">
      <c r="A195" s="1060" t="s">
        <v>1116</v>
      </c>
      <c r="B195" s="1061"/>
      <c r="C195" s="1061"/>
      <c r="D195" s="1061"/>
      <c r="E195" s="1061"/>
      <c r="F195" s="1061"/>
      <c r="G195" s="1062"/>
    </row>
    <row r="196" spans="1:7" ht="17.25">
      <c r="A196" s="1063" t="str">
        <f>+A147</f>
        <v>June  21th, 2010</v>
      </c>
      <c r="B196" s="1151"/>
      <c r="C196" s="1151"/>
      <c r="D196" s="1151"/>
      <c r="E196" s="1151"/>
      <c r="F196" s="1151"/>
      <c r="G196" s="1151"/>
    </row>
    <row r="197" ht="13.5" thickBot="1"/>
    <row r="198" spans="1:6" ht="14.25" thickBot="1" thickTop="1">
      <c r="A198" s="1192" t="s">
        <v>1117</v>
      </c>
      <c r="B198" s="1193"/>
      <c r="C198" s="1193"/>
      <c r="D198" s="1193"/>
      <c r="E198" s="1193"/>
      <c r="F198" s="1194"/>
    </row>
    <row r="199" spans="1:6" ht="27" thickBot="1" thickTop="1">
      <c r="A199" s="1195" t="s">
        <v>1118</v>
      </c>
      <c r="B199" s="1196"/>
      <c r="C199" s="649" t="s">
        <v>1119</v>
      </c>
      <c r="D199" s="649" t="s">
        <v>1070</v>
      </c>
      <c r="E199" s="649" t="s">
        <v>1120</v>
      </c>
      <c r="F199" s="650" t="s">
        <v>1070</v>
      </c>
    </row>
    <row r="200" spans="1:6" ht="13.5" thickTop="1">
      <c r="A200" s="596"/>
      <c r="B200" s="303"/>
      <c r="C200" s="620"/>
      <c r="D200" s="621"/>
      <c r="E200" s="621"/>
      <c r="F200" s="622"/>
    </row>
    <row r="201" spans="1:6" ht="12.75">
      <c r="A201" s="651">
        <f>Español!A233</f>
        <v>0</v>
      </c>
      <c r="B201" s="652">
        <f>Español!B233</f>
        <v>0.1</v>
      </c>
      <c r="C201" s="653">
        <f>Español!C233</f>
        <v>1948.598696176</v>
      </c>
      <c r="D201" s="654">
        <f>Español!D233</f>
        <v>0.0107</v>
      </c>
      <c r="E201" s="655">
        <f>Español!E233</f>
        <v>42.934999999999995</v>
      </c>
      <c r="F201" s="656">
        <f>Español!F233</f>
        <v>0.0277</v>
      </c>
    </row>
    <row r="202" spans="1:6" ht="12.75">
      <c r="A202" s="651">
        <f>Español!A234</f>
        <v>0.10010000000000001</v>
      </c>
      <c r="B202" s="652">
        <f>Español!B234</f>
        <v>0.2</v>
      </c>
      <c r="C202" s="657">
        <f>Español!C234</f>
        <v>7539.4379459520005</v>
      </c>
      <c r="D202" s="658">
        <f>Español!D234</f>
        <v>0.0414</v>
      </c>
      <c r="E202" s="659">
        <f>Español!E234</f>
        <v>112.995</v>
      </c>
      <c r="F202" s="609">
        <f>Español!F234</f>
        <v>0.0729</v>
      </c>
    </row>
    <row r="203" spans="1:6" ht="12.75">
      <c r="A203" s="651">
        <f>Español!A235</f>
        <v>0.2001</v>
      </c>
      <c r="B203" s="652">
        <f>Español!B235</f>
        <v>0.30000000000000004</v>
      </c>
      <c r="C203" s="657">
        <f>Español!C235</f>
        <v>15333.832730656</v>
      </c>
      <c r="D203" s="658">
        <f>Español!D235</f>
        <v>0.0842</v>
      </c>
      <c r="E203" s="659">
        <f>Español!E235</f>
        <v>190.96</v>
      </c>
      <c r="F203" s="609">
        <f>Español!F235</f>
        <v>0.1232</v>
      </c>
    </row>
    <row r="204" spans="1:6" ht="12.75">
      <c r="A204" s="651">
        <f>Español!A236</f>
        <v>0.30010000000000003</v>
      </c>
      <c r="B204" s="652">
        <f>Español!B236</f>
        <v>0.4</v>
      </c>
      <c r="C204" s="657">
        <f>Español!C236</f>
        <v>29028.657212192</v>
      </c>
      <c r="D204" s="658">
        <f>Español!D236</f>
        <v>0.1594</v>
      </c>
      <c r="E204" s="659">
        <f>Español!E236</f>
        <v>277.91499999999996</v>
      </c>
      <c r="F204" s="609">
        <f>Español!F236</f>
        <v>0.1793</v>
      </c>
    </row>
    <row r="205" spans="1:6" ht="12.75">
      <c r="A205" s="651">
        <f>Español!A237</f>
        <v>0.4001</v>
      </c>
      <c r="B205" s="652">
        <f>Español!B237</f>
        <v>0.5</v>
      </c>
      <c r="C205" s="657">
        <f>Español!C237</f>
        <v>41102.684647376</v>
      </c>
      <c r="D205" s="658">
        <f>Español!D237</f>
        <v>0.2257</v>
      </c>
      <c r="E205" s="659">
        <f>Español!E237</f>
        <v>346.89</v>
      </c>
      <c r="F205" s="609">
        <f>Español!F237</f>
        <v>0.2238</v>
      </c>
    </row>
    <row r="206" spans="1:6" ht="12.75">
      <c r="A206" s="651">
        <f>Español!A238</f>
        <v>0.5001</v>
      </c>
      <c r="B206" s="652">
        <f>Español!B238</f>
        <v>0.6</v>
      </c>
      <c r="C206" s="657">
        <f>Español!C238</f>
        <v>40847.727808624</v>
      </c>
      <c r="D206" s="658">
        <f>Español!D238</f>
        <v>0.2243</v>
      </c>
      <c r="E206" s="659">
        <f>Español!E238</f>
        <v>308.915</v>
      </c>
      <c r="F206" s="609">
        <f>Español!F238</f>
        <v>0.1993</v>
      </c>
    </row>
    <row r="207" spans="1:6" ht="12.75">
      <c r="A207" s="651">
        <f>Español!A239</f>
        <v>0.6001</v>
      </c>
      <c r="B207" s="652">
        <f>Español!B239</f>
        <v>0.7</v>
      </c>
      <c r="C207" s="657">
        <f>Español!C239</f>
        <v>26424.455216368002</v>
      </c>
      <c r="D207" s="658">
        <f>Español!D239</f>
        <v>0.1451</v>
      </c>
      <c r="E207" s="659">
        <f>Español!E239</f>
        <v>186.93</v>
      </c>
      <c r="F207" s="609">
        <f>Español!F239</f>
        <v>0.1206</v>
      </c>
    </row>
    <row r="208" spans="1:6" ht="12.75">
      <c r="A208" s="651">
        <f>Español!A240</f>
        <v>0.7001</v>
      </c>
      <c r="B208" s="652">
        <f>Español!B240</f>
        <v>0.7999999999999999</v>
      </c>
      <c r="C208" s="657">
        <f>Español!C240</f>
        <v>15024.2422836</v>
      </c>
      <c r="D208" s="658">
        <f>Español!D240</f>
        <v>0.0825</v>
      </c>
      <c r="E208" s="659">
        <f>Español!E240</f>
        <v>64.945</v>
      </c>
      <c r="F208" s="609">
        <f>Español!F240</f>
        <v>0.0419</v>
      </c>
    </row>
    <row r="209" spans="1:6" ht="12.75">
      <c r="A209" s="651">
        <f>Español!A241</f>
        <v>0.8000999999999999</v>
      </c>
      <c r="B209" s="652">
        <f>Español!B241</f>
        <v>0.8999999999999999</v>
      </c>
      <c r="C209" s="657">
        <f>Español!C241</f>
        <v>1893.965087872</v>
      </c>
      <c r="D209" s="658">
        <f>Español!D241</f>
        <v>0.0104</v>
      </c>
      <c r="E209" s="659">
        <f>Español!E241</f>
        <v>7.905</v>
      </c>
      <c r="F209" s="609">
        <f>Español!F241</f>
        <v>0.0051</v>
      </c>
    </row>
    <row r="210" spans="1:6" ht="12.75">
      <c r="A210" s="651">
        <f>Español!A242</f>
        <v>0.9000999999999999</v>
      </c>
      <c r="B210" s="652">
        <f>Español!B242</f>
        <v>0.9999999999999999</v>
      </c>
      <c r="C210" s="657">
        <f>Español!C242</f>
        <v>655.6032996480001</v>
      </c>
      <c r="D210" s="658">
        <f>Español!D242</f>
        <v>0.0036</v>
      </c>
      <c r="E210" s="659">
        <f>Español!E242</f>
        <v>2.945</v>
      </c>
      <c r="F210" s="609">
        <f>Español!F242</f>
        <v>0.0019</v>
      </c>
    </row>
    <row r="211" spans="1:6" ht="12.75">
      <c r="A211" s="651">
        <f>Español!A243</f>
        <v>1.0001</v>
      </c>
      <c r="B211" s="652" t="str">
        <f>Español!B243</f>
        <v>---</v>
      </c>
      <c r="C211" s="657">
        <f>Español!C243</f>
        <v>2203.5555349280003</v>
      </c>
      <c r="D211" s="658">
        <f>Español!D243</f>
        <v>0.0121</v>
      </c>
      <c r="E211" s="659">
        <f>Español!E243</f>
        <v>5.89</v>
      </c>
      <c r="F211" s="609">
        <f>Español!F243</f>
        <v>0.0038</v>
      </c>
    </row>
    <row r="212" spans="1:6" ht="13.5" thickBot="1">
      <c r="A212" s="1197" t="s">
        <v>1121</v>
      </c>
      <c r="B212" s="1198"/>
      <c r="C212" s="660">
        <f>Español!C244</f>
        <v>109.26721660801559</v>
      </c>
      <c r="D212" s="661">
        <f>Español!D244</f>
        <v>0.0005999999999999339</v>
      </c>
      <c r="E212" s="662">
        <f>Español!E244</f>
        <v>0.7749999999997426</v>
      </c>
      <c r="F212" s="663">
        <f>Español!F244</f>
        <v>0.0004999999999998339</v>
      </c>
    </row>
    <row r="213" spans="1:6" ht="13.5" thickTop="1">
      <c r="A213" s="526"/>
      <c r="C213" s="664">
        <f>Español!C245</f>
        <v>182112027.68</v>
      </c>
      <c r="D213" s="665">
        <f>Español!D245</f>
        <v>1</v>
      </c>
      <c r="E213" s="666">
        <f>Español!E245</f>
        <v>1550</v>
      </c>
      <c r="F213" s="665">
        <f>Español!F245</f>
        <v>1</v>
      </c>
    </row>
    <row r="214" spans="1:6" ht="12.75">
      <c r="A214" s="222" t="s">
        <v>1122</v>
      </c>
      <c r="B214" s="667">
        <f>Español!B246</f>
        <v>1.1322</v>
      </c>
      <c r="C214" s="618"/>
      <c r="D214" s="235"/>
      <c r="E214" s="235"/>
      <c r="F214" s="619"/>
    </row>
    <row r="215" spans="1:6" ht="12.75">
      <c r="A215" s="222" t="s">
        <v>1123</v>
      </c>
      <c r="B215" s="667">
        <f>Español!B247</f>
        <v>0.002</v>
      </c>
      <c r="C215" s="618"/>
      <c r="D215" s="235"/>
      <c r="E215" s="235"/>
      <c r="F215" s="619"/>
    </row>
    <row r="216" spans="1:4" ht="12.75">
      <c r="A216" s="222" t="s">
        <v>1124</v>
      </c>
      <c r="B216" s="667">
        <f>Español!B248</f>
        <v>0.4939</v>
      </c>
      <c r="C216" s="668"/>
      <c r="D216" s="668"/>
    </row>
    <row r="218" ht="13.5" thickBot="1"/>
    <row r="219" spans="1:7" ht="18" thickBot="1">
      <c r="A219" s="1060" t="s">
        <v>1130</v>
      </c>
      <c r="B219" s="1061"/>
      <c r="C219" s="1061"/>
      <c r="D219" s="1061"/>
      <c r="E219" s="1061"/>
      <c r="F219" s="1061"/>
      <c r="G219" s="1062"/>
    </row>
    <row r="220" spans="1:7" ht="17.25">
      <c r="A220" s="1063" t="str">
        <f>+A196</f>
        <v>June  21th, 2010</v>
      </c>
      <c r="B220" s="1151"/>
      <c r="C220" s="1151"/>
      <c r="D220" s="1151"/>
      <c r="E220" s="1151"/>
      <c r="F220" s="1151"/>
      <c r="G220" s="1151"/>
    </row>
    <row r="221" spans="1:7" ht="12.75">
      <c r="A221"/>
      <c r="B221"/>
      <c r="C221"/>
      <c r="D221"/>
      <c r="E221"/>
      <c r="F221"/>
      <c r="G221"/>
    </row>
    <row r="222" spans="1:7" ht="13.5" thickBot="1">
      <c r="A222"/>
      <c r="B222"/>
      <c r="C222"/>
      <c r="D222"/>
      <c r="E222"/>
      <c r="F222"/>
      <c r="G222"/>
    </row>
    <row r="223" spans="1:7" ht="14.25" thickBot="1" thickTop="1">
      <c r="A223" s="1068" t="s">
        <v>1131</v>
      </c>
      <c r="B223" s="1069"/>
      <c r="C223" s="1069"/>
      <c r="D223" s="1070"/>
      <c r="E223"/>
      <c r="F223"/>
      <c r="G223"/>
    </row>
    <row r="224" spans="1:7" ht="27" thickBot="1" thickTop="1">
      <c r="A224" s="1130" t="s">
        <v>1132</v>
      </c>
      <c r="B224" s="1199"/>
      <c r="C224" s="565" t="s">
        <v>1133</v>
      </c>
      <c r="D224" s="565" t="s">
        <v>1134</v>
      </c>
      <c r="E224"/>
      <c r="F224"/>
      <c r="G224"/>
    </row>
    <row r="225" spans="1:7" ht="13.5" thickTop="1">
      <c r="A225" s="1200">
        <f>Español!A256</f>
        <v>1</v>
      </c>
      <c r="B225" s="1201"/>
      <c r="C225" s="669">
        <f>Español!C256</f>
        <v>16227000</v>
      </c>
      <c r="D225" s="670">
        <f>Español!D256</f>
        <v>0.029325662927612572</v>
      </c>
      <c r="E225"/>
      <c r="F225"/>
      <c r="G225"/>
    </row>
    <row r="226" spans="1:7" ht="12.75">
      <c r="A226" s="1202">
        <f>Español!A257</f>
        <v>2</v>
      </c>
      <c r="B226" s="1203"/>
      <c r="C226" s="669">
        <f>Español!C257</f>
        <v>14435270.97</v>
      </c>
      <c r="D226" s="671">
        <f>Español!D257</f>
        <v>0.026087624991370618</v>
      </c>
      <c r="E226"/>
      <c r="F226"/>
      <c r="G226"/>
    </row>
    <row r="227" spans="1:7" ht="12.75">
      <c r="A227" s="1202">
        <f>Español!A258</f>
        <v>3</v>
      </c>
      <c r="B227" s="1203"/>
      <c r="C227" s="669">
        <f>Español!C258</f>
        <v>13500000</v>
      </c>
      <c r="D227" s="671">
        <f>Español!D258</f>
        <v>0.0243973901228058</v>
      </c>
      <c r="E227"/>
      <c r="F227"/>
      <c r="G227"/>
    </row>
    <row r="228" spans="1:7" ht="12.75">
      <c r="A228" s="1202">
        <f>Español!A259</f>
        <v>4</v>
      </c>
      <c r="B228" s="1203"/>
      <c r="C228" s="669">
        <f>Español!C259</f>
        <v>12000000</v>
      </c>
      <c r="D228" s="671">
        <f>Español!D259</f>
        <v>0.0216865689980496</v>
      </c>
      <c r="E228"/>
      <c r="F228"/>
      <c r="G228"/>
    </row>
    <row r="229" spans="1:7" ht="12.75">
      <c r="A229" s="1202">
        <f>Español!A260</f>
        <v>5</v>
      </c>
      <c r="B229" s="1203"/>
      <c r="C229" s="669">
        <f>Español!C260</f>
        <v>10391987</v>
      </c>
      <c r="D229" s="671">
        <f>Español!D260</f>
        <v>0.018780545258527872</v>
      </c>
      <c r="E229"/>
      <c r="F229"/>
      <c r="G229"/>
    </row>
    <row r="230" spans="1:7" ht="12.75">
      <c r="A230" s="1202">
        <f>Español!A261</f>
        <v>6</v>
      </c>
      <c r="B230" s="1203"/>
      <c r="C230" s="669">
        <f>Español!C261</f>
        <v>9666666.76</v>
      </c>
      <c r="D230" s="671">
        <f>Español!D261</f>
        <v>0.017469736305991048</v>
      </c>
      <c r="E230"/>
      <c r="F230"/>
      <c r="G230"/>
    </row>
    <row r="231" spans="1:7" ht="12.75">
      <c r="A231" s="1202">
        <f>Español!A262</f>
        <v>7</v>
      </c>
      <c r="B231" s="1203"/>
      <c r="C231" s="669">
        <f>Español!C262</f>
        <v>9326382.33</v>
      </c>
      <c r="D231" s="671">
        <f>Español!D262</f>
        <v>0.0168547694918113</v>
      </c>
      <c r="E231"/>
      <c r="F231"/>
      <c r="G231"/>
    </row>
    <row r="232" spans="1:7" ht="12.75">
      <c r="A232" s="1202">
        <f>Español!A263</f>
        <v>8</v>
      </c>
      <c r="B232" s="1203"/>
      <c r="C232" s="669">
        <f>Español!C263</f>
        <v>5592652.42</v>
      </c>
      <c r="D232" s="671">
        <f>Español!D263</f>
        <v>0.010107120215703256</v>
      </c>
      <c r="E232"/>
      <c r="F232"/>
      <c r="G232"/>
    </row>
    <row r="233" spans="1:7" ht="12.75">
      <c r="A233" s="1202">
        <f>Español!A264</f>
        <v>9</v>
      </c>
      <c r="B233" s="1203"/>
      <c r="C233" s="669">
        <f>Español!C264</f>
        <v>5487685.99</v>
      </c>
      <c r="D233" s="671">
        <f>Español!D264</f>
        <v>0.009917423405147095</v>
      </c>
      <c r="E233"/>
      <c r="F233"/>
      <c r="G233"/>
    </row>
    <row r="234" spans="1:7" ht="12.75">
      <c r="A234" s="1202">
        <f>Español!A265</f>
        <v>10</v>
      </c>
      <c r="B234" s="1203"/>
      <c r="C234" s="669">
        <f>Español!C265</f>
        <v>5250000</v>
      </c>
      <c r="D234" s="671">
        <f>Español!D265</f>
        <v>0.0094878739366467</v>
      </c>
      <c r="E234"/>
      <c r="F234"/>
      <c r="G234"/>
    </row>
    <row r="235" spans="1:7" ht="12.75">
      <c r="A235" s="1202">
        <f>Español!A266</f>
        <v>11</v>
      </c>
      <c r="B235" s="1203"/>
      <c r="C235" s="669">
        <f>Español!C266</f>
        <v>4313656.48</v>
      </c>
      <c r="D235" s="671">
        <f>Español!D266</f>
        <v>0.007795700740616981</v>
      </c>
      <c r="E235"/>
      <c r="F235"/>
      <c r="G235"/>
    </row>
    <row r="236" spans="1:7" ht="12.75">
      <c r="A236" s="1202">
        <f>Español!A267</f>
        <v>12</v>
      </c>
      <c r="B236" s="1203"/>
      <c r="C236" s="669">
        <f>Español!C267</f>
        <v>4066986</v>
      </c>
      <c r="D236" s="671">
        <f>Español!D267</f>
        <v>0.00734991437525848</v>
      </c>
      <c r="E236"/>
      <c r="F236"/>
      <c r="G236"/>
    </row>
    <row r="237" spans="1:7" ht="12.75">
      <c r="A237" s="1202">
        <f>Español!A268</f>
        <v>13</v>
      </c>
      <c r="B237" s="1203"/>
      <c r="C237" s="669">
        <f>Español!C268</f>
        <v>3440033.86</v>
      </c>
      <c r="D237" s="671">
        <f>Español!D268</f>
        <v>0.006216877638376408</v>
      </c>
      <c r="E237"/>
      <c r="F237"/>
      <c r="G237"/>
    </row>
    <row r="238" spans="1:7" ht="12.75">
      <c r="A238" s="1202">
        <f>Español!A269</f>
        <v>14</v>
      </c>
      <c r="B238" s="1203"/>
      <c r="C238" s="669">
        <f>Español!C269</f>
        <v>3371492.13</v>
      </c>
      <c r="D238" s="671">
        <f>Español!D269</f>
        <v>0.006093008058635517</v>
      </c>
      <c r="E238"/>
      <c r="F238"/>
      <c r="G238"/>
    </row>
    <row r="239" spans="1:7" ht="12.75">
      <c r="A239" s="1202">
        <f>Español!A270</f>
        <v>15</v>
      </c>
      <c r="B239" s="1203"/>
      <c r="C239" s="669">
        <f>Español!C270</f>
        <v>2952324.43</v>
      </c>
      <c r="D239" s="671">
        <f>Español!D270</f>
        <v>0.005335482287985205</v>
      </c>
      <c r="E239"/>
      <c r="F239"/>
      <c r="G239"/>
    </row>
    <row r="240" spans="1:7" ht="12.75">
      <c r="A240" s="1202">
        <f>Español!A271</f>
        <v>16</v>
      </c>
      <c r="B240" s="1203"/>
      <c r="C240" s="669">
        <f>Español!C271</f>
        <v>2848500</v>
      </c>
      <c r="D240" s="671">
        <f>Español!D271</f>
        <v>0.0051478493159120235</v>
      </c>
      <c r="E240"/>
      <c r="F240"/>
      <c r="G240"/>
    </row>
    <row r="241" spans="1:7" ht="12.75">
      <c r="A241" s="1202">
        <f>Español!A272</f>
        <v>17</v>
      </c>
      <c r="B241" s="1203"/>
      <c r="C241" s="669">
        <f>Español!C272</f>
        <v>2822785.72</v>
      </c>
      <c r="D241" s="671">
        <f>Español!D272</f>
        <v>0.005101378106957427</v>
      </c>
      <c r="E241"/>
      <c r="F241"/>
      <c r="G241"/>
    </row>
    <row r="242" spans="1:7" ht="12.75">
      <c r="A242" s="1202">
        <f>Español!A273</f>
        <v>18</v>
      </c>
      <c r="B242" s="1203"/>
      <c r="C242" s="669">
        <f>Español!C273</f>
        <v>2818750</v>
      </c>
      <c r="D242" s="671">
        <f>Español!D273</f>
        <v>0.005094084696937693</v>
      </c>
      <c r="E242"/>
      <c r="F242"/>
      <c r="G242"/>
    </row>
    <row r="243" spans="1:7" ht="12.75">
      <c r="A243" s="1202">
        <f>Español!A274</f>
        <v>19</v>
      </c>
      <c r="B243" s="1203"/>
      <c r="C243" s="669">
        <f>Español!C274</f>
        <v>2686415.53</v>
      </c>
      <c r="D243" s="671">
        <f>Español!D274</f>
        <v>0.004854927979064749</v>
      </c>
      <c r="E243"/>
      <c r="F243"/>
      <c r="G243"/>
    </row>
    <row r="244" spans="1:7" ht="13.5" thickBot="1">
      <c r="A244" s="1120">
        <f>Español!A275</f>
        <v>20</v>
      </c>
      <c r="B244" s="1121"/>
      <c r="C244" s="714">
        <f>Español!C275</f>
        <v>2625000</v>
      </c>
      <c r="D244" s="673">
        <f>Español!D275</f>
        <v>0.00474393696832335</v>
      </c>
      <c r="E244"/>
      <c r="F244"/>
      <c r="G244"/>
    </row>
    <row r="245" ht="13.5" thickTop="1"/>
    <row r="246" ht="13.5" thickBot="1"/>
    <row r="247" spans="1:7" ht="18" thickBot="1">
      <c r="A247" s="1060" t="s">
        <v>24</v>
      </c>
      <c r="B247" s="1061"/>
      <c r="C247" s="1061"/>
      <c r="D247" s="1061"/>
      <c r="E247" s="1061"/>
      <c r="F247" s="1061"/>
      <c r="G247" s="1062"/>
    </row>
    <row r="249" ht="12.75">
      <c r="A249" s="47" t="s">
        <v>25</v>
      </c>
    </row>
    <row r="250" ht="12.75">
      <c r="A250" s="222" t="s">
        <v>1317</v>
      </c>
    </row>
    <row r="251" ht="12.75">
      <c r="A251" s="47" t="s">
        <v>1051</v>
      </c>
    </row>
  </sheetData>
  <mergeCells count="108">
    <mergeCell ref="A247:G247"/>
    <mergeCell ref="A244:B244"/>
    <mergeCell ref="A240:B240"/>
    <mergeCell ref="A241:B241"/>
    <mergeCell ref="A242:B242"/>
    <mergeCell ref="A243:B243"/>
    <mergeCell ref="A236:B236"/>
    <mergeCell ref="A237:B237"/>
    <mergeCell ref="A238:B238"/>
    <mergeCell ref="A239:B239"/>
    <mergeCell ref="A232:B232"/>
    <mergeCell ref="A233:B233"/>
    <mergeCell ref="A234:B234"/>
    <mergeCell ref="A235:B235"/>
    <mergeCell ref="A228:B228"/>
    <mergeCell ref="A229:B229"/>
    <mergeCell ref="A230:B230"/>
    <mergeCell ref="A231:B231"/>
    <mergeCell ref="A224:B224"/>
    <mergeCell ref="A225:B225"/>
    <mergeCell ref="A226:B226"/>
    <mergeCell ref="A227:B227"/>
    <mergeCell ref="A212:B212"/>
    <mergeCell ref="A219:G219"/>
    <mergeCell ref="A220:G220"/>
    <mergeCell ref="A223:D223"/>
    <mergeCell ref="A195:G195"/>
    <mergeCell ref="A196:G196"/>
    <mergeCell ref="A198:F198"/>
    <mergeCell ref="A199:B199"/>
    <mergeCell ref="A53:C53"/>
    <mergeCell ref="A58:B58"/>
    <mergeCell ref="A146:G146"/>
    <mergeCell ref="A147:G147"/>
    <mergeCell ref="A98:G98"/>
    <mergeCell ref="A118:B118"/>
    <mergeCell ref="A119:B119"/>
    <mergeCell ref="A123:G123"/>
    <mergeCell ref="A139:B140"/>
    <mergeCell ref="C139:C140"/>
    <mergeCell ref="A25:B26"/>
    <mergeCell ref="C25:C26"/>
    <mergeCell ref="A32:G32"/>
    <mergeCell ref="A33:G33"/>
    <mergeCell ref="A48:B48"/>
    <mergeCell ref="A47:B47"/>
    <mergeCell ref="A45:B46"/>
    <mergeCell ref="C45:C46"/>
    <mergeCell ref="A21:C21"/>
    <mergeCell ref="A22:B23"/>
    <mergeCell ref="C22:C23"/>
    <mergeCell ref="A24:B24"/>
    <mergeCell ref="E16:F16"/>
    <mergeCell ref="E13:F13"/>
    <mergeCell ref="E15:F15"/>
    <mergeCell ref="A97:G97"/>
    <mergeCell ref="A40:B40"/>
    <mergeCell ref="A42:B42"/>
    <mergeCell ref="A41:B41"/>
    <mergeCell ref="F45:F46"/>
    <mergeCell ref="A44:G44"/>
    <mergeCell ref="G45:G46"/>
    <mergeCell ref="A12:C12"/>
    <mergeCell ref="A17:B17"/>
    <mergeCell ref="A13:B13"/>
    <mergeCell ref="A14:B14"/>
    <mergeCell ref="A15:B15"/>
    <mergeCell ref="A16:B16"/>
    <mergeCell ref="A7:G7"/>
    <mergeCell ref="A9:G9"/>
    <mergeCell ref="A10:G10"/>
    <mergeCell ref="A39:B39"/>
    <mergeCell ref="E36:G36"/>
    <mergeCell ref="E37:F37"/>
    <mergeCell ref="E38:F38"/>
    <mergeCell ref="A36:C36"/>
    <mergeCell ref="A37:B37"/>
    <mergeCell ref="A38:B38"/>
    <mergeCell ref="D45:D46"/>
    <mergeCell ref="E45:E46"/>
    <mergeCell ref="G101:G102"/>
    <mergeCell ref="A113:B114"/>
    <mergeCell ref="C113:C114"/>
    <mergeCell ref="A49:B49"/>
    <mergeCell ref="A50:B50"/>
    <mergeCell ref="A51:B51"/>
    <mergeCell ref="A101:B102"/>
    <mergeCell ref="E101:F102"/>
    <mergeCell ref="A149:F150"/>
    <mergeCell ref="A132:B132"/>
    <mergeCell ref="C130:C131"/>
    <mergeCell ref="C101:C102"/>
    <mergeCell ref="A138:D138"/>
    <mergeCell ref="A133:B133"/>
    <mergeCell ref="A130:B131"/>
    <mergeCell ref="A124:G124"/>
    <mergeCell ref="A129:D129"/>
    <mergeCell ref="E105:F105"/>
    <mergeCell ref="A65:G65"/>
    <mergeCell ref="A66:G66"/>
    <mergeCell ref="A165:F166"/>
    <mergeCell ref="E12:G12"/>
    <mergeCell ref="E14:F14"/>
    <mergeCell ref="E18:F18"/>
    <mergeCell ref="E21:G21"/>
    <mergeCell ref="A141:B141"/>
    <mergeCell ref="A142:B142"/>
    <mergeCell ref="A117:B117"/>
  </mergeCells>
  <printOptions/>
  <pageMargins left="0.7874015748031497" right="0.7874015748031497" top="0.34" bottom="0.4" header="0" footer="0"/>
  <pageSetup fitToWidth="6" horizontalDpi="600" verticalDpi="600" orientation="landscape" paperSize="9" scale="74" r:id="rId4"/>
  <rowBreaks count="8" manualBreakCount="8">
    <brk id="30" max="6" man="1"/>
    <brk id="63" max="6" man="1"/>
    <brk id="95" max="6" man="1"/>
    <brk id="121" max="6" man="1"/>
    <brk id="144" max="6" man="1"/>
    <brk id="193" max="6" man="1"/>
    <brk id="217" max="6" man="1"/>
    <brk id="245" max="255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/>
  <dimension ref="B6:Z21"/>
  <sheetViews>
    <sheetView workbookViewId="0" topLeftCell="A1">
      <selection activeCell="L7" sqref="L7:L11"/>
    </sheetView>
  </sheetViews>
  <sheetFormatPr defaultColWidth="11.421875" defaultRowHeight="12.75"/>
  <cols>
    <col min="2" max="2" width="11.28125" style="0" bestFit="1" customWidth="1"/>
    <col min="3" max="4" width="9.57421875" style="0" bestFit="1" customWidth="1"/>
    <col min="5" max="5" width="9.421875" style="0" bestFit="1" customWidth="1"/>
    <col min="6" max="6" width="9.7109375" style="0" bestFit="1" customWidth="1"/>
    <col min="7" max="8" width="9.57421875" style="0" bestFit="1" customWidth="1"/>
  </cols>
  <sheetData>
    <row r="5" ht="13.5" thickBot="1"/>
    <row r="6" spans="2:26" ht="14.25" thickBot="1" thickTop="1">
      <c r="B6" s="566" t="s">
        <v>1449</v>
      </c>
      <c r="C6" s="567">
        <v>39417</v>
      </c>
      <c r="D6" s="567">
        <v>39508</v>
      </c>
      <c r="E6" s="567">
        <v>39600</v>
      </c>
      <c r="F6" s="567">
        <v>39692</v>
      </c>
      <c r="G6" s="567">
        <v>39783</v>
      </c>
      <c r="H6" s="678">
        <v>39873</v>
      </c>
      <c r="I6" s="681">
        <v>39965</v>
      </c>
      <c r="J6" s="681">
        <v>40057</v>
      </c>
      <c r="K6" s="681">
        <v>40148</v>
      </c>
      <c r="L6" s="681">
        <v>40238</v>
      </c>
      <c r="M6" s="681">
        <v>40330</v>
      </c>
      <c r="N6" s="567"/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</row>
    <row r="7" spans="2:26" ht="13.5" thickTop="1">
      <c r="B7" s="317" t="s">
        <v>1450</v>
      </c>
      <c r="C7" s="568">
        <v>0.0167</v>
      </c>
      <c r="D7" s="568">
        <v>0.0366</v>
      </c>
      <c r="E7" s="568">
        <v>0.0256</v>
      </c>
      <c r="F7" s="568">
        <v>0.0432</v>
      </c>
      <c r="G7" s="568">
        <v>0.03621961479838009</v>
      </c>
      <c r="H7" s="679">
        <v>0.046586362688912926</v>
      </c>
      <c r="I7" s="679">
        <v>0.038213255448461166</v>
      </c>
      <c r="J7" s="679">
        <v>0.05584724126823427</v>
      </c>
      <c r="K7" s="679">
        <v>0.024881321466683863</v>
      </c>
      <c r="L7" s="679">
        <v>0.03950944680846389</v>
      </c>
      <c r="M7" s="679">
        <f>Español!$C$54</f>
        <v>0.023330618143268537</v>
      </c>
      <c r="N7" s="568"/>
      <c r="O7" s="568"/>
      <c r="P7" s="568"/>
      <c r="Q7" s="568"/>
      <c r="R7" s="568"/>
      <c r="S7" s="568"/>
      <c r="T7" s="568"/>
      <c r="U7" s="568"/>
      <c r="V7" s="568"/>
      <c r="W7" s="568"/>
      <c r="X7" s="568"/>
      <c r="Y7" s="568"/>
      <c r="Z7" s="569"/>
    </row>
    <row r="8" spans="2:26" ht="12.75">
      <c r="B8" s="318" t="s">
        <v>1451</v>
      </c>
      <c r="C8" s="570">
        <v>0.0033</v>
      </c>
      <c r="D8" s="570">
        <v>0.0038</v>
      </c>
      <c r="E8" s="570">
        <v>0.0088</v>
      </c>
      <c r="F8" s="570">
        <v>0.0092</v>
      </c>
      <c r="G8" s="570">
        <v>0.009142887726231029</v>
      </c>
      <c r="H8" s="677">
        <v>0.019511960356778605</v>
      </c>
      <c r="I8" s="677">
        <v>0.019789031568924417</v>
      </c>
      <c r="J8" s="677">
        <v>0.01407532035096588</v>
      </c>
      <c r="K8" s="677">
        <v>0.020456849922766564</v>
      </c>
      <c r="L8" s="677">
        <v>0.02113812810765926</v>
      </c>
      <c r="M8" s="677">
        <f>Español!$D$54</f>
        <v>0.014399405306567624</v>
      </c>
      <c r="N8" s="570"/>
      <c r="O8" s="570"/>
      <c r="P8" s="570"/>
      <c r="Q8" s="570"/>
      <c r="R8" s="570"/>
      <c r="S8" s="570"/>
      <c r="T8" s="570"/>
      <c r="U8" s="570"/>
      <c r="V8" s="570"/>
      <c r="W8" s="570"/>
      <c r="X8" s="570"/>
      <c r="Y8" s="570"/>
      <c r="Z8" s="571"/>
    </row>
    <row r="9" spans="2:26" ht="12.75">
      <c r="B9" s="318" t="s">
        <v>1452</v>
      </c>
      <c r="C9" s="570">
        <v>0</v>
      </c>
      <c r="D9" s="570">
        <v>0.0156</v>
      </c>
      <c r="E9" s="570">
        <v>0.0215</v>
      </c>
      <c r="F9" s="570">
        <v>0.0235</v>
      </c>
      <c r="G9" s="570">
        <v>0.033347785756582975</v>
      </c>
      <c r="H9" s="677">
        <v>0.0377306180041057</v>
      </c>
      <c r="I9" s="677">
        <v>0.016280242604953435</v>
      </c>
      <c r="J9" s="677">
        <v>0.015657440056754162</v>
      </c>
      <c r="K9" s="677">
        <v>0.011552199282841532</v>
      </c>
      <c r="L9" s="677">
        <v>0.009096028279130518</v>
      </c>
      <c r="M9" s="677">
        <f>Español!$E$54</f>
        <v>0.010551854818609633</v>
      </c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1"/>
    </row>
    <row r="10" spans="2:26" ht="12.75">
      <c r="B10" s="318" t="s">
        <v>1453</v>
      </c>
      <c r="C10" s="570">
        <v>0</v>
      </c>
      <c r="D10" s="570">
        <v>0.0018</v>
      </c>
      <c r="E10" s="570">
        <v>0.0048</v>
      </c>
      <c r="F10" s="570">
        <v>0.018</v>
      </c>
      <c r="G10" s="570">
        <v>0.004598002311064363</v>
      </c>
      <c r="H10" s="677">
        <v>0.006678858920453366</v>
      </c>
      <c r="I10" s="677">
        <v>0.03253380622519643</v>
      </c>
      <c r="J10" s="677">
        <v>0.007663458477610923</v>
      </c>
      <c r="K10" s="677">
        <v>0.010022232642039983</v>
      </c>
      <c r="L10" s="677">
        <v>0.008302456491173981</v>
      </c>
      <c r="M10" s="677">
        <f>Español!$F$54</f>
        <v>0.00720465746502743</v>
      </c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1"/>
    </row>
    <row r="11" spans="2:26" ht="13.5" thickBot="1">
      <c r="B11" s="572" t="s">
        <v>1454</v>
      </c>
      <c r="C11" s="573">
        <v>0</v>
      </c>
      <c r="D11" s="573">
        <v>0</v>
      </c>
      <c r="E11" s="573">
        <v>0.0002</v>
      </c>
      <c r="F11" s="573">
        <v>0.002</v>
      </c>
      <c r="G11" s="573">
        <v>0.01498478403340741</v>
      </c>
      <c r="H11" s="680">
        <v>0.005538064732563676</v>
      </c>
      <c r="I11" s="680">
        <v>0.007097317421912066</v>
      </c>
      <c r="J11" s="680">
        <v>0.02085395298993955</v>
      </c>
      <c r="K11" s="680">
        <v>0.02289284972164154</v>
      </c>
      <c r="L11" s="680">
        <v>0.007003598697468887</v>
      </c>
      <c r="M11" s="680">
        <f>Español!$G$54</f>
        <v>0.007927042843365387</v>
      </c>
      <c r="N11" s="573"/>
      <c r="O11" s="573"/>
      <c r="P11" s="573"/>
      <c r="Q11" s="573"/>
      <c r="R11" s="573"/>
      <c r="S11" s="573"/>
      <c r="T11" s="573"/>
      <c r="U11" s="573"/>
      <c r="V11" s="573"/>
      <c r="W11" s="573"/>
      <c r="X11" s="573"/>
      <c r="Y11" s="573"/>
      <c r="Z11" s="574"/>
    </row>
    <row r="12" ht="13.5" thickTop="1"/>
    <row r="15" ht="13.5" thickBot="1"/>
    <row r="16" spans="2:13" ht="14.25" thickBot="1" thickTop="1">
      <c r="B16" s="566" t="s">
        <v>1456</v>
      </c>
      <c r="C16" s="567" t="str">
        <f>LEFT(VLOOKUP(MONTH(C6),Inglés!$N$3:$O$14,2,FALSE),3)&amp;", "&amp;YEAR(C6)</f>
        <v>Dec, 2007</v>
      </c>
      <c r="D16" s="567" t="str">
        <f>LEFT(VLOOKUP(MONTH(D6),Inglés!$N$3:$O$14,2,FALSE),3)&amp;", "&amp;YEAR(D6)</f>
        <v>Mar, 2008</v>
      </c>
      <c r="E16" s="567" t="str">
        <f>LEFT(VLOOKUP(MONTH(E6),Inglés!$N$3:$O$14,2,FALSE),3)&amp;", "&amp;YEAR(E6)</f>
        <v>Jun, 2008</v>
      </c>
      <c r="F16" s="567" t="str">
        <f>LEFT(VLOOKUP(MONTH(F6),Inglés!$N$3:$O$14,2,FALSE),3)&amp;", "&amp;YEAR(F6)</f>
        <v>Sep, 2008</v>
      </c>
      <c r="G16" s="567" t="str">
        <f>LEFT(VLOOKUP(MONTH(G6),Inglés!$N$3:$O$14,2,FALSE),3)&amp;", "&amp;YEAR(G6)</f>
        <v>Dec, 2008</v>
      </c>
      <c r="H16" s="567" t="str">
        <f>LEFT(VLOOKUP(MONTH(H6),Inglés!$N$3:$O$14,2,FALSE),3)&amp;", "&amp;YEAR(H6)</f>
        <v>Mar, 2009</v>
      </c>
      <c r="I16" s="567" t="str">
        <f>LEFT(VLOOKUP(MONTH(I6),Inglés!$N$3:$O$14,2,FALSE),3)&amp;", "&amp;YEAR(I6)</f>
        <v>Jun, 2009</v>
      </c>
      <c r="J16" s="567" t="str">
        <f>LEFT(VLOOKUP(MONTH(J6),Inglés!$N$3:$O$14,2,FALSE),3)&amp;", "&amp;YEAR(J6)</f>
        <v>Sep, 2009</v>
      </c>
      <c r="K16" s="567" t="str">
        <f>LEFT(VLOOKUP(MONTH(K6),Inglés!$N$3:$O$14,2,FALSE),3)&amp;", "&amp;YEAR(K6)</f>
        <v>Dec, 2009</v>
      </c>
      <c r="L16" s="567" t="str">
        <f>LEFT(VLOOKUP(MONTH(L6),Inglés!$N$3:$O$14,2,FALSE),3)&amp;", "&amp;YEAR(L6)</f>
        <v>Mar, 2010</v>
      </c>
      <c r="M16" s="567" t="str">
        <f>LEFT(VLOOKUP(MONTH(M6),Inglés!$N$3:$O$14,2,FALSE),3)&amp;", "&amp;YEAR(M6)</f>
        <v>Jun, 2010</v>
      </c>
    </row>
    <row r="17" spans="2:13" ht="13.5" thickTop="1">
      <c r="B17" s="317" t="s">
        <v>1457</v>
      </c>
      <c r="C17" s="568">
        <f aca="true" t="shared" si="0" ref="C17:H21">C7</f>
        <v>0.0167</v>
      </c>
      <c r="D17" s="568">
        <f t="shared" si="0"/>
        <v>0.0366</v>
      </c>
      <c r="E17" s="568">
        <f t="shared" si="0"/>
        <v>0.0256</v>
      </c>
      <c r="F17" s="568">
        <f t="shared" si="0"/>
        <v>0.0432</v>
      </c>
      <c r="G17" s="568">
        <f t="shared" si="0"/>
        <v>0.03621961479838009</v>
      </c>
      <c r="H17" s="569">
        <f t="shared" si="0"/>
        <v>0.046586362688912926</v>
      </c>
      <c r="I17" s="569">
        <f aca="true" t="shared" si="1" ref="I17:J21">I7</f>
        <v>0.038213255448461166</v>
      </c>
      <c r="J17" s="569">
        <f t="shared" si="1"/>
        <v>0.05584724126823427</v>
      </c>
      <c r="K17" s="569">
        <f aca="true" t="shared" si="2" ref="K17:L21">K7</f>
        <v>0.024881321466683863</v>
      </c>
      <c r="L17" s="569">
        <f t="shared" si="2"/>
        <v>0.03950944680846389</v>
      </c>
      <c r="M17" s="569">
        <f>M7</f>
        <v>0.023330618143268537</v>
      </c>
    </row>
    <row r="18" spans="2:13" ht="12.75">
      <c r="B18" s="318" t="s">
        <v>1458</v>
      </c>
      <c r="C18" s="570">
        <f t="shared" si="0"/>
        <v>0.0033</v>
      </c>
      <c r="D18" s="570">
        <f t="shared" si="0"/>
        <v>0.0038</v>
      </c>
      <c r="E18" s="570">
        <f t="shared" si="0"/>
        <v>0.0088</v>
      </c>
      <c r="F18" s="570">
        <f t="shared" si="0"/>
        <v>0.0092</v>
      </c>
      <c r="G18" s="570">
        <f t="shared" si="0"/>
        <v>0.009142887726231029</v>
      </c>
      <c r="H18" s="571">
        <f t="shared" si="0"/>
        <v>0.019511960356778605</v>
      </c>
      <c r="I18" s="571">
        <f t="shared" si="1"/>
        <v>0.019789031568924417</v>
      </c>
      <c r="J18" s="571">
        <f t="shared" si="1"/>
        <v>0.01407532035096588</v>
      </c>
      <c r="K18" s="571">
        <f t="shared" si="2"/>
        <v>0.020456849922766564</v>
      </c>
      <c r="L18" s="571">
        <f t="shared" si="2"/>
        <v>0.02113812810765926</v>
      </c>
      <c r="M18" s="571">
        <f>M8</f>
        <v>0.014399405306567624</v>
      </c>
    </row>
    <row r="19" spans="2:13" ht="12.75">
      <c r="B19" s="318" t="s">
        <v>1459</v>
      </c>
      <c r="C19" s="570">
        <f t="shared" si="0"/>
        <v>0</v>
      </c>
      <c r="D19" s="570">
        <f t="shared" si="0"/>
        <v>0.0156</v>
      </c>
      <c r="E19" s="570">
        <f t="shared" si="0"/>
        <v>0.0215</v>
      </c>
      <c r="F19" s="570">
        <f t="shared" si="0"/>
        <v>0.0235</v>
      </c>
      <c r="G19" s="570">
        <f t="shared" si="0"/>
        <v>0.033347785756582975</v>
      </c>
      <c r="H19" s="571">
        <f t="shared" si="0"/>
        <v>0.0377306180041057</v>
      </c>
      <c r="I19" s="571">
        <f t="shared" si="1"/>
        <v>0.016280242604953435</v>
      </c>
      <c r="J19" s="571">
        <f t="shared" si="1"/>
        <v>0.015657440056754162</v>
      </c>
      <c r="K19" s="571">
        <f t="shared" si="2"/>
        <v>0.011552199282841532</v>
      </c>
      <c r="L19" s="571">
        <f t="shared" si="2"/>
        <v>0.009096028279130518</v>
      </c>
      <c r="M19" s="571">
        <f>M9</f>
        <v>0.010551854818609633</v>
      </c>
    </row>
    <row r="20" spans="2:13" ht="12.75">
      <c r="B20" s="318" t="s">
        <v>1460</v>
      </c>
      <c r="C20" s="570">
        <f t="shared" si="0"/>
        <v>0</v>
      </c>
      <c r="D20" s="570">
        <f t="shared" si="0"/>
        <v>0.0018</v>
      </c>
      <c r="E20" s="570">
        <f t="shared" si="0"/>
        <v>0.0048</v>
      </c>
      <c r="F20" s="570">
        <f t="shared" si="0"/>
        <v>0.018</v>
      </c>
      <c r="G20" s="570">
        <f t="shared" si="0"/>
        <v>0.004598002311064363</v>
      </c>
      <c r="H20" s="571">
        <f t="shared" si="0"/>
        <v>0.006678858920453366</v>
      </c>
      <c r="I20" s="571">
        <f t="shared" si="1"/>
        <v>0.03253380622519643</v>
      </c>
      <c r="J20" s="571">
        <f t="shared" si="1"/>
        <v>0.007663458477610923</v>
      </c>
      <c r="K20" s="571">
        <f t="shared" si="2"/>
        <v>0.010022232642039983</v>
      </c>
      <c r="L20" s="571">
        <f t="shared" si="2"/>
        <v>0.008302456491173981</v>
      </c>
      <c r="M20" s="571">
        <f>M10</f>
        <v>0.00720465746502743</v>
      </c>
    </row>
    <row r="21" spans="2:13" ht="13.5" thickBot="1">
      <c r="B21" s="572" t="s">
        <v>1461</v>
      </c>
      <c r="C21" s="573">
        <f t="shared" si="0"/>
        <v>0</v>
      </c>
      <c r="D21" s="573">
        <f t="shared" si="0"/>
        <v>0</v>
      </c>
      <c r="E21" s="573">
        <f t="shared" si="0"/>
        <v>0.0002</v>
      </c>
      <c r="F21" s="573">
        <f t="shared" si="0"/>
        <v>0.002</v>
      </c>
      <c r="G21" s="573">
        <f t="shared" si="0"/>
        <v>0.01498478403340741</v>
      </c>
      <c r="H21" s="574">
        <f t="shared" si="0"/>
        <v>0.005538064732563676</v>
      </c>
      <c r="I21" s="574">
        <f t="shared" si="1"/>
        <v>0.007097317421912066</v>
      </c>
      <c r="J21" s="574">
        <f t="shared" si="1"/>
        <v>0.02085395298993955</v>
      </c>
      <c r="K21" s="574">
        <f t="shared" si="2"/>
        <v>0.02289284972164154</v>
      </c>
      <c r="L21" s="574">
        <f t="shared" si="2"/>
        <v>0.007003598697468887</v>
      </c>
      <c r="M21" s="574">
        <f>M11</f>
        <v>0.007927042843365387</v>
      </c>
    </row>
    <row r="22" ht="13.5" thickTop="1"/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STITULIZACION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Julio</cp:lastModifiedBy>
  <cp:lastPrinted>2010-06-29T15:59:39Z</cp:lastPrinted>
  <dcterms:created xsi:type="dcterms:W3CDTF">2000-08-31T06:27:41Z</dcterms:created>
  <dcterms:modified xsi:type="dcterms:W3CDTF">2010-07-20T11:10:43Z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